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codeName="ThisWorkbook" hidePivotFieldList="1"/>
  <workbookProtection lockStructure="1"/>
  <bookViews>
    <workbookView xWindow="-105" yWindow="-105" windowWidth="19425" windowHeight="10425" firstSheet="1" activeTab="1"/>
  </bookViews>
  <sheets>
    <sheet name="Page de couverture" sheetId="14" r:id="rId1"/>
    <sheet name="1. Membre du groupe" sheetId="1" r:id="rId2"/>
    <sheet name="2. Produit agricole certifié" sheetId="5" r:id="rId3"/>
    <sheet name="3. Unité agricole" sheetId="3" r:id="rId4"/>
    <sheet name=" Tableau de bord" sheetId="15" r:id="rId5"/>
    <sheet name="Translations" sheetId="18" state="hidden" r:id="rId6"/>
    <sheet name="Liste des produits agricoles" sheetId="13" r:id="rId7"/>
    <sheet name="Document d’orientation" sheetId="19" r:id="rId8"/>
  </sheets>
  <definedNames>
    <definedName name="_xlnm._FilterDatabase" localSheetId="1" hidden="1">'1. Membre du groupe'!$A$2:$AC$307</definedName>
    <definedName name="_xlnm._FilterDatabase" localSheetId="2" hidden="1">'2. Produit agricole certifié'!$T$2:$AC$307</definedName>
    <definedName name="_xlnm._FilterDatabase" localSheetId="3" hidden="1">'3. Unité agricole'!$A$2:$E$307</definedName>
    <definedName name="_xlnm._FilterDatabase" localSheetId="6" hidden="1">'Liste des produits agricoles'!$A$1:$D$372</definedName>
  </definedNames>
  <calcPr calcId="12451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S8" i="5"/>
  <c r="S14" l="1"/>
  <c r="S16"/>
  <c r="F41" i="3"/>
  <c r="F42"/>
  <c r="F43"/>
  <c r="F44"/>
  <c r="F45"/>
  <c r="F46"/>
  <c r="F47"/>
  <c r="F48"/>
  <c r="F49"/>
  <c r="F50"/>
  <c r="F51"/>
  <c r="F52"/>
  <c r="F53"/>
  <c r="F54"/>
  <c r="F55"/>
  <c r="F56"/>
  <c r="F57"/>
  <c r="F58"/>
  <c r="F59"/>
  <c r="F60"/>
  <c r="F61"/>
  <c r="F62"/>
  <c r="F63"/>
  <c r="F64"/>
  <c r="F65"/>
  <c r="F66"/>
  <c r="F67"/>
  <c r="F68"/>
  <c r="F69"/>
  <c r="F70"/>
  <c r="F71"/>
  <c r="F72"/>
  <c r="F73"/>
  <c r="F74"/>
  <c r="F75"/>
  <c r="F76"/>
  <c r="F77"/>
  <c r="F78"/>
  <c r="F79"/>
  <c r="F80"/>
  <c r="F81"/>
  <c r="F82"/>
  <c r="F83"/>
  <c r="F84"/>
  <c r="F85"/>
  <c r="F86"/>
  <c r="F87"/>
  <c r="F88"/>
  <c r="F89"/>
  <c r="F90"/>
  <c r="F91"/>
  <c r="F92"/>
  <c r="F93"/>
  <c r="F94"/>
  <c r="F95"/>
  <c r="F96"/>
  <c r="F97"/>
  <c r="F98"/>
  <c r="F99"/>
  <c r="F100"/>
  <c r="F101"/>
  <c r="F102"/>
  <c r="F103"/>
  <c r="F104"/>
  <c r="F105"/>
  <c r="F106"/>
  <c r="F107"/>
  <c r="F108"/>
  <c r="F109"/>
  <c r="F110"/>
  <c r="F111"/>
  <c r="F112"/>
  <c r="F113"/>
  <c r="F114"/>
  <c r="F115"/>
  <c r="F116"/>
  <c r="F117"/>
  <c r="F118"/>
  <c r="F119"/>
  <c r="F120"/>
  <c r="F121"/>
  <c r="F122"/>
  <c r="F123"/>
  <c r="F124"/>
  <c r="F125"/>
  <c r="F126"/>
  <c r="F127"/>
  <c r="F128"/>
  <c r="F129"/>
  <c r="F130"/>
  <c r="F131"/>
  <c r="F132"/>
  <c r="F133"/>
  <c r="F134"/>
  <c r="F135"/>
  <c r="F136"/>
  <c r="F137"/>
  <c r="F138"/>
  <c r="F139"/>
  <c r="F140"/>
  <c r="F141"/>
  <c r="F142"/>
  <c r="F143"/>
  <c r="F144"/>
  <c r="F145"/>
  <c r="F146"/>
  <c r="F147"/>
  <c r="F148"/>
  <c r="F149"/>
  <c r="F150"/>
  <c r="F151"/>
  <c r="F152"/>
  <c r="F153"/>
  <c r="F154"/>
  <c r="F155"/>
  <c r="F156"/>
  <c r="F157"/>
  <c r="F158"/>
  <c r="F159"/>
  <c r="F160"/>
  <c r="F161"/>
  <c r="F162"/>
  <c r="F163"/>
  <c r="F164"/>
  <c r="F165"/>
  <c r="F166"/>
  <c r="F167"/>
  <c r="F168"/>
  <c r="F169"/>
  <c r="F170"/>
  <c r="F171"/>
  <c r="F172"/>
  <c r="F173"/>
  <c r="F174"/>
  <c r="F175"/>
  <c r="F176"/>
  <c r="F177"/>
  <c r="F178"/>
  <c r="F179"/>
  <c r="F180"/>
  <c r="F181"/>
  <c r="F182"/>
  <c r="F183"/>
  <c r="F184"/>
  <c r="F185"/>
  <c r="F186"/>
  <c r="F187"/>
  <c r="F188"/>
  <c r="F189"/>
  <c r="F190"/>
  <c r="F191"/>
  <c r="F192"/>
  <c r="F193"/>
  <c r="F194"/>
  <c r="F195"/>
  <c r="F196"/>
  <c r="F197"/>
  <c r="F198"/>
  <c r="F199"/>
  <c r="F200"/>
  <c r="F201"/>
  <c r="F202"/>
  <c r="F203"/>
  <c r="F204"/>
  <c r="F205"/>
  <c r="F206"/>
  <c r="F207"/>
  <c r="F208"/>
  <c r="F209"/>
  <c r="F210"/>
  <c r="F211"/>
  <c r="F212"/>
  <c r="F213"/>
  <c r="F214"/>
  <c r="F215"/>
  <c r="F216"/>
  <c r="F217"/>
  <c r="F218"/>
  <c r="F219"/>
  <c r="F220"/>
  <c r="F221"/>
  <c r="F222"/>
  <c r="F223"/>
  <c r="F224"/>
  <c r="F225"/>
  <c r="F226"/>
  <c r="F227"/>
  <c r="F228"/>
  <c r="F229"/>
  <c r="F230"/>
  <c r="F231"/>
  <c r="F232"/>
  <c r="F233"/>
  <c r="F234"/>
  <c r="F235"/>
  <c r="F236"/>
  <c r="F237"/>
  <c r="F238"/>
  <c r="F239"/>
  <c r="F240"/>
  <c r="F241"/>
  <c r="F242"/>
  <c r="F243"/>
  <c r="F244"/>
  <c r="F245"/>
  <c r="F246"/>
  <c r="F247"/>
  <c r="F248"/>
  <c r="F249"/>
  <c r="F250"/>
  <c r="F251"/>
  <c r="F252"/>
  <c r="F253"/>
  <c r="F254"/>
  <c r="F255"/>
  <c r="F256"/>
  <c r="F257"/>
  <c r="F258"/>
  <c r="F259"/>
  <c r="F260"/>
  <c r="F261"/>
  <c r="F262"/>
  <c r="F263"/>
  <c r="F264"/>
  <c r="F265"/>
  <c r="F266"/>
  <c r="F267"/>
  <c r="F268"/>
  <c r="F269"/>
  <c r="F270"/>
  <c r="F271"/>
  <c r="F272"/>
  <c r="F273"/>
  <c r="F274"/>
  <c r="F275"/>
  <c r="F276"/>
  <c r="F277"/>
  <c r="F278"/>
  <c r="F279"/>
  <c r="F280"/>
  <c r="F281"/>
  <c r="F282"/>
  <c r="F283"/>
  <c r="F284"/>
  <c r="F285"/>
  <c r="F286"/>
  <c r="F287"/>
  <c r="F288"/>
  <c r="F289"/>
  <c r="F290"/>
  <c r="F291"/>
  <c r="F292"/>
  <c r="F293"/>
  <c r="F294"/>
  <c r="F295"/>
  <c r="F296"/>
  <c r="F297"/>
  <c r="F298"/>
  <c r="F299"/>
  <c r="F300"/>
  <c r="F301"/>
  <c r="F302"/>
  <c r="F303"/>
  <c r="F304"/>
  <c r="F305"/>
  <c r="F306"/>
  <c r="F307"/>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G84"/>
  <c r="G85"/>
  <c r="G86"/>
  <c r="G87"/>
  <c r="G88"/>
  <c r="G89"/>
  <c r="G90"/>
  <c r="G91"/>
  <c r="G92"/>
  <c r="G93"/>
  <c r="G94"/>
  <c r="G95"/>
  <c r="G96"/>
  <c r="G97"/>
  <c r="G98"/>
  <c r="G99"/>
  <c r="G100"/>
  <c r="G101"/>
  <c r="G102"/>
  <c r="G103"/>
  <c r="G104"/>
  <c r="G105"/>
  <c r="G106"/>
  <c r="G107"/>
  <c r="G108"/>
  <c r="G109"/>
  <c r="G110"/>
  <c r="G111"/>
  <c r="G112"/>
  <c r="G113"/>
  <c r="G114"/>
  <c r="G115"/>
  <c r="G116"/>
  <c r="G117"/>
  <c r="G118"/>
  <c r="G119"/>
  <c r="G120"/>
  <c r="G121"/>
  <c r="G122"/>
  <c r="G123"/>
  <c r="G124"/>
  <c r="G125"/>
  <c r="G126"/>
  <c r="G127"/>
  <c r="G128"/>
  <c r="G129"/>
  <c r="G130"/>
  <c r="G131"/>
  <c r="G132"/>
  <c r="G133"/>
  <c r="G134"/>
  <c r="G135"/>
  <c r="G136"/>
  <c r="G137"/>
  <c r="G138"/>
  <c r="G139"/>
  <c r="G140"/>
  <c r="G141"/>
  <c r="G142"/>
  <c r="G143"/>
  <c r="G144"/>
  <c r="G145"/>
  <c r="G146"/>
  <c r="G147"/>
  <c r="G148"/>
  <c r="G149"/>
  <c r="G150"/>
  <c r="G151"/>
  <c r="G152"/>
  <c r="G153"/>
  <c r="G154"/>
  <c r="G155"/>
  <c r="G156"/>
  <c r="G157"/>
  <c r="G158"/>
  <c r="G159"/>
  <c r="G160"/>
  <c r="G161"/>
  <c r="G162"/>
  <c r="G163"/>
  <c r="G164"/>
  <c r="G165"/>
  <c r="G166"/>
  <c r="G167"/>
  <c r="G168"/>
  <c r="G169"/>
  <c r="G170"/>
  <c r="G171"/>
  <c r="G172"/>
  <c r="G173"/>
  <c r="G174"/>
  <c r="G175"/>
  <c r="G176"/>
  <c r="G177"/>
  <c r="G178"/>
  <c r="G179"/>
  <c r="G180"/>
  <c r="G181"/>
  <c r="G182"/>
  <c r="G183"/>
  <c r="G184"/>
  <c r="G185"/>
  <c r="G186"/>
  <c r="G187"/>
  <c r="G188"/>
  <c r="G189"/>
  <c r="G190"/>
  <c r="G191"/>
  <c r="G192"/>
  <c r="G193"/>
  <c r="G194"/>
  <c r="G195"/>
  <c r="G196"/>
  <c r="G197"/>
  <c r="G198"/>
  <c r="G199"/>
  <c r="G200"/>
  <c r="G201"/>
  <c r="G202"/>
  <c r="G203"/>
  <c r="G204"/>
  <c r="G205"/>
  <c r="G206"/>
  <c r="G207"/>
  <c r="G208"/>
  <c r="G209"/>
  <c r="G210"/>
  <c r="G211"/>
  <c r="G212"/>
  <c r="G213"/>
  <c r="G214"/>
  <c r="G215"/>
  <c r="G216"/>
  <c r="G217"/>
  <c r="G218"/>
  <c r="G219"/>
  <c r="G220"/>
  <c r="G221"/>
  <c r="G222"/>
  <c r="G223"/>
  <c r="G224"/>
  <c r="G225"/>
  <c r="G226"/>
  <c r="G227"/>
  <c r="G228"/>
  <c r="G229"/>
  <c r="G230"/>
  <c r="G231"/>
  <c r="G232"/>
  <c r="G233"/>
  <c r="G234"/>
  <c r="G235"/>
  <c r="G236"/>
  <c r="G237"/>
  <c r="G238"/>
  <c r="G239"/>
  <c r="G240"/>
  <c r="G241"/>
  <c r="G242"/>
  <c r="G243"/>
  <c r="G244"/>
  <c r="G245"/>
  <c r="G246"/>
  <c r="G247"/>
  <c r="G248"/>
  <c r="G249"/>
  <c r="G250"/>
  <c r="G251"/>
  <c r="G252"/>
  <c r="G253"/>
  <c r="G254"/>
  <c r="G255"/>
  <c r="G256"/>
  <c r="G257"/>
  <c r="G258"/>
  <c r="G259"/>
  <c r="G260"/>
  <c r="G261"/>
  <c r="G262"/>
  <c r="G263"/>
  <c r="G264"/>
  <c r="G265"/>
  <c r="G266"/>
  <c r="G267"/>
  <c r="G268"/>
  <c r="G269"/>
  <c r="G270"/>
  <c r="G271"/>
  <c r="G272"/>
  <c r="G273"/>
  <c r="G274"/>
  <c r="G275"/>
  <c r="G276"/>
  <c r="G277"/>
  <c r="G278"/>
  <c r="G279"/>
  <c r="G280"/>
  <c r="G281"/>
  <c r="G282"/>
  <c r="G283"/>
  <c r="G284"/>
  <c r="G285"/>
  <c r="G286"/>
  <c r="G287"/>
  <c r="G288"/>
  <c r="G289"/>
  <c r="G290"/>
  <c r="G291"/>
  <c r="G292"/>
  <c r="G293"/>
  <c r="G294"/>
  <c r="G295"/>
  <c r="G296"/>
  <c r="G297"/>
  <c r="G298"/>
  <c r="G299"/>
  <c r="G300"/>
  <c r="G301"/>
  <c r="G302"/>
  <c r="G303"/>
  <c r="G304"/>
  <c r="G305"/>
  <c r="G306"/>
  <c r="G307"/>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H98"/>
  <c r="H99"/>
  <c r="H100"/>
  <c r="H101"/>
  <c r="H102"/>
  <c r="H103"/>
  <c r="H104"/>
  <c r="H105"/>
  <c r="H106"/>
  <c r="H107"/>
  <c r="H108"/>
  <c r="H109"/>
  <c r="H110"/>
  <c r="H111"/>
  <c r="H112"/>
  <c r="H113"/>
  <c r="H114"/>
  <c r="H115"/>
  <c r="H116"/>
  <c r="H117"/>
  <c r="H118"/>
  <c r="H119"/>
  <c r="H120"/>
  <c r="H121"/>
  <c r="H122"/>
  <c r="H123"/>
  <c r="H124"/>
  <c r="H125"/>
  <c r="H126"/>
  <c r="H127"/>
  <c r="H128"/>
  <c r="H129"/>
  <c r="H130"/>
  <c r="H131"/>
  <c r="H132"/>
  <c r="H133"/>
  <c r="H134"/>
  <c r="H135"/>
  <c r="H136"/>
  <c r="H137"/>
  <c r="H138"/>
  <c r="H139"/>
  <c r="H140"/>
  <c r="H141"/>
  <c r="H142"/>
  <c r="H143"/>
  <c r="H144"/>
  <c r="H145"/>
  <c r="H146"/>
  <c r="H147"/>
  <c r="H148"/>
  <c r="H149"/>
  <c r="H150"/>
  <c r="H151"/>
  <c r="H152"/>
  <c r="H153"/>
  <c r="H154"/>
  <c r="H155"/>
  <c r="H156"/>
  <c r="H157"/>
  <c r="H158"/>
  <c r="H159"/>
  <c r="H160"/>
  <c r="H161"/>
  <c r="H162"/>
  <c r="H163"/>
  <c r="H164"/>
  <c r="H165"/>
  <c r="H166"/>
  <c r="H167"/>
  <c r="H168"/>
  <c r="H169"/>
  <c r="H170"/>
  <c r="H171"/>
  <c r="H172"/>
  <c r="H173"/>
  <c r="H174"/>
  <c r="H175"/>
  <c r="H176"/>
  <c r="H177"/>
  <c r="H178"/>
  <c r="H179"/>
  <c r="H180"/>
  <c r="H181"/>
  <c r="H182"/>
  <c r="H183"/>
  <c r="H184"/>
  <c r="H185"/>
  <c r="H186"/>
  <c r="H187"/>
  <c r="H188"/>
  <c r="H189"/>
  <c r="H190"/>
  <c r="H191"/>
  <c r="H192"/>
  <c r="H193"/>
  <c r="H194"/>
  <c r="H195"/>
  <c r="H196"/>
  <c r="H197"/>
  <c r="H198"/>
  <c r="H199"/>
  <c r="H200"/>
  <c r="H201"/>
  <c r="H202"/>
  <c r="H203"/>
  <c r="H204"/>
  <c r="H205"/>
  <c r="H206"/>
  <c r="H207"/>
  <c r="H208"/>
  <c r="H209"/>
  <c r="H210"/>
  <c r="H211"/>
  <c r="H212"/>
  <c r="H213"/>
  <c r="H214"/>
  <c r="H215"/>
  <c r="H216"/>
  <c r="H217"/>
  <c r="H218"/>
  <c r="H219"/>
  <c r="H220"/>
  <c r="H221"/>
  <c r="H222"/>
  <c r="H223"/>
  <c r="H224"/>
  <c r="H225"/>
  <c r="H226"/>
  <c r="H227"/>
  <c r="H228"/>
  <c r="H229"/>
  <c r="H230"/>
  <c r="H231"/>
  <c r="H232"/>
  <c r="H233"/>
  <c r="H234"/>
  <c r="H235"/>
  <c r="H236"/>
  <c r="H237"/>
  <c r="H238"/>
  <c r="H239"/>
  <c r="H240"/>
  <c r="H241"/>
  <c r="H242"/>
  <c r="H243"/>
  <c r="H244"/>
  <c r="H245"/>
  <c r="H246"/>
  <c r="H247"/>
  <c r="H248"/>
  <c r="H249"/>
  <c r="H250"/>
  <c r="H251"/>
  <c r="H252"/>
  <c r="H253"/>
  <c r="H254"/>
  <c r="H255"/>
  <c r="H256"/>
  <c r="H257"/>
  <c r="H258"/>
  <c r="H259"/>
  <c r="H260"/>
  <c r="H261"/>
  <c r="H262"/>
  <c r="H263"/>
  <c r="H264"/>
  <c r="H265"/>
  <c r="H266"/>
  <c r="H267"/>
  <c r="H268"/>
  <c r="H269"/>
  <c r="H270"/>
  <c r="H271"/>
  <c r="H272"/>
  <c r="H273"/>
  <c r="H274"/>
  <c r="H275"/>
  <c r="H276"/>
  <c r="H277"/>
  <c r="H278"/>
  <c r="H279"/>
  <c r="H280"/>
  <c r="H281"/>
  <c r="H282"/>
  <c r="H283"/>
  <c r="H284"/>
  <c r="H285"/>
  <c r="H286"/>
  <c r="H287"/>
  <c r="H288"/>
  <c r="H289"/>
  <c r="H290"/>
  <c r="H291"/>
  <c r="H292"/>
  <c r="H293"/>
  <c r="H294"/>
  <c r="H295"/>
  <c r="H296"/>
  <c r="H297"/>
  <c r="H298"/>
  <c r="H299"/>
  <c r="H300"/>
  <c r="H301"/>
  <c r="H302"/>
  <c r="H303"/>
  <c r="H304"/>
  <c r="H305"/>
  <c r="H306"/>
  <c r="H307"/>
  <c r="I41" a="1"/>
  <c r="I41" s="1"/>
  <c r="I42" a="1"/>
  <c r="I42" s="1"/>
  <c r="I43" a="1"/>
  <c r="I43" s="1"/>
  <c r="I44" a="1"/>
  <c r="I44" s="1"/>
  <c r="I45" a="1"/>
  <c r="I45" s="1"/>
  <c r="I46" a="1"/>
  <c r="I46" s="1"/>
  <c r="I47" a="1"/>
  <c r="I47" s="1"/>
  <c r="I48" a="1"/>
  <c r="I48" s="1"/>
  <c r="I49" a="1"/>
  <c r="I49" s="1"/>
  <c r="I50" a="1"/>
  <c r="I50" s="1"/>
  <c r="I51" a="1"/>
  <c r="I51" s="1"/>
  <c r="I52" a="1"/>
  <c r="I52" s="1"/>
  <c r="I53" a="1"/>
  <c r="I53" s="1"/>
  <c r="I54" a="1"/>
  <c r="I54" s="1"/>
  <c r="I55" a="1"/>
  <c r="I55" s="1"/>
  <c r="I56" a="1"/>
  <c r="I56" s="1"/>
  <c r="I57" a="1"/>
  <c r="I57" s="1"/>
  <c r="I58" a="1"/>
  <c r="I58" s="1"/>
  <c r="I59" a="1"/>
  <c r="I59" s="1"/>
  <c r="I60" a="1"/>
  <c r="I60" s="1"/>
  <c r="I61" a="1"/>
  <c r="I61" s="1"/>
  <c r="I62" a="1"/>
  <c r="I62" s="1"/>
  <c r="I63" a="1"/>
  <c r="I63" s="1"/>
  <c r="I64" a="1"/>
  <c r="I64" s="1"/>
  <c r="I65" a="1"/>
  <c r="I65" s="1"/>
  <c r="I66" a="1"/>
  <c r="I66" s="1"/>
  <c r="I67" a="1"/>
  <c r="I67" s="1"/>
  <c r="I68" a="1"/>
  <c r="I68" s="1"/>
  <c r="I69" a="1"/>
  <c r="I69" s="1"/>
  <c r="I70" a="1"/>
  <c r="I70" s="1"/>
  <c r="I71" a="1"/>
  <c r="I71" s="1"/>
  <c r="I72" a="1"/>
  <c r="I72" s="1"/>
  <c r="I73" a="1"/>
  <c r="I73" s="1"/>
  <c r="I74" a="1"/>
  <c r="I74" s="1"/>
  <c r="I75" a="1"/>
  <c r="I75" s="1"/>
  <c r="I76" a="1"/>
  <c r="I76" s="1"/>
  <c r="I77" a="1"/>
  <c r="I77" s="1"/>
  <c r="I78" a="1"/>
  <c r="I78" s="1"/>
  <c r="I79" a="1"/>
  <c r="I79" s="1"/>
  <c r="I80" a="1"/>
  <c r="I80" s="1"/>
  <c r="I81" a="1"/>
  <c r="I81" s="1"/>
  <c r="I82" a="1"/>
  <c r="I82" s="1"/>
  <c r="I83" a="1"/>
  <c r="I83" s="1"/>
  <c r="I84" a="1"/>
  <c r="I84" s="1"/>
  <c r="I85" a="1"/>
  <c r="I85" s="1"/>
  <c r="I86" a="1"/>
  <c r="I86" s="1"/>
  <c r="I87" a="1"/>
  <c r="I87" s="1"/>
  <c r="I88" a="1"/>
  <c r="I88" s="1"/>
  <c r="I89" a="1"/>
  <c r="I89" s="1"/>
  <c r="I90" a="1"/>
  <c r="I90" s="1"/>
  <c r="I91" a="1"/>
  <c r="I91" s="1"/>
  <c r="I92" a="1"/>
  <c r="I92" s="1"/>
  <c r="I93" a="1"/>
  <c r="I93" s="1"/>
  <c r="I94" a="1"/>
  <c r="I94" s="1"/>
  <c r="I95" a="1"/>
  <c r="I95" s="1"/>
  <c r="I96" a="1"/>
  <c r="I96" s="1"/>
  <c r="I97" a="1"/>
  <c r="I97" s="1"/>
  <c r="I98" a="1"/>
  <c r="I98" s="1"/>
  <c r="I99" a="1"/>
  <c r="I99" s="1"/>
  <c r="I100" a="1"/>
  <c r="I100" s="1"/>
  <c r="I101" a="1"/>
  <c r="I101" s="1"/>
  <c r="I102" a="1"/>
  <c r="I102" s="1"/>
  <c r="I103" a="1"/>
  <c r="I103" s="1"/>
  <c r="I104" a="1"/>
  <c r="I104" s="1"/>
  <c r="I105" a="1"/>
  <c r="I105" s="1"/>
  <c r="I106" a="1"/>
  <c r="I106" s="1"/>
  <c r="I107" a="1"/>
  <c r="I107" s="1"/>
  <c r="I108" a="1"/>
  <c r="I108" s="1"/>
  <c r="I109" a="1"/>
  <c r="I109" s="1"/>
  <c r="I110" a="1"/>
  <c r="I110" s="1"/>
  <c r="I111" a="1"/>
  <c r="I111" s="1"/>
  <c r="I112" a="1"/>
  <c r="I112" s="1"/>
  <c r="I113" a="1"/>
  <c r="I113" s="1"/>
  <c r="I114" a="1"/>
  <c r="I114" s="1"/>
  <c r="I115" a="1"/>
  <c r="I115" s="1"/>
  <c r="I116" a="1"/>
  <c r="I116" s="1"/>
  <c r="I117" a="1"/>
  <c r="I117" s="1"/>
  <c r="I118" a="1"/>
  <c r="I118" s="1"/>
  <c r="I119" a="1"/>
  <c r="I119" s="1"/>
  <c r="I120" a="1"/>
  <c r="I120" s="1"/>
  <c r="I121" a="1"/>
  <c r="I121" s="1"/>
  <c r="I122" a="1"/>
  <c r="I122" s="1"/>
  <c r="I123" a="1"/>
  <c r="I123" s="1"/>
  <c r="I124" a="1"/>
  <c r="I124" s="1"/>
  <c r="I125" a="1"/>
  <c r="I125" s="1"/>
  <c r="I126" a="1"/>
  <c r="I126" s="1"/>
  <c r="I127" a="1"/>
  <c r="I127" s="1"/>
  <c r="I128" a="1"/>
  <c r="I128" s="1"/>
  <c r="I129" a="1"/>
  <c r="I129" s="1"/>
  <c r="I130" a="1"/>
  <c r="I130" s="1"/>
  <c r="I131" a="1"/>
  <c r="I131" s="1"/>
  <c r="I132" a="1"/>
  <c r="I132" s="1"/>
  <c r="I133" a="1"/>
  <c r="I133" s="1"/>
  <c r="I134" a="1"/>
  <c r="I134" s="1"/>
  <c r="I135" a="1"/>
  <c r="I135" s="1"/>
  <c r="I136" a="1"/>
  <c r="I136" s="1"/>
  <c r="I137" a="1"/>
  <c r="I137" s="1"/>
  <c r="I138" a="1"/>
  <c r="I138" s="1"/>
  <c r="I139" a="1"/>
  <c r="I139" s="1"/>
  <c r="I140" a="1"/>
  <c r="I140" s="1"/>
  <c r="I141" a="1"/>
  <c r="I141" s="1"/>
  <c r="I142" a="1"/>
  <c r="I142" s="1"/>
  <c r="I143" a="1"/>
  <c r="I143" s="1"/>
  <c r="I144" a="1"/>
  <c r="I144" s="1"/>
  <c r="I145" a="1"/>
  <c r="I145" s="1"/>
  <c r="I146" a="1"/>
  <c r="I146" s="1"/>
  <c r="I147" a="1"/>
  <c r="I147" s="1"/>
  <c r="I148" a="1"/>
  <c r="I148" s="1"/>
  <c r="I149" a="1"/>
  <c r="I149" s="1"/>
  <c r="I150" a="1"/>
  <c r="I150" s="1"/>
  <c r="I151" a="1"/>
  <c r="I151" s="1"/>
  <c r="I152" a="1"/>
  <c r="I152" s="1"/>
  <c r="I153" a="1"/>
  <c r="I153" s="1"/>
  <c r="I154" a="1"/>
  <c r="I154" s="1"/>
  <c r="I155" a="1"/>
  <c r="I155" s="1"/>
  <c r="I156" a="1"/>
  <c r="I156" s="1"/>
  <c r="I157" a="1"/>
  <c r="I157" s="1"/>
  <c r="I158" a="1"/>
  <c r="I158" s="1"/>
  <c r="I159" a="1"/>
  <c r="I159" s="1"/>
  <c r="I160" a="1"/>
  <c r="I160" s="1"/>
  <c r="I161" a="1"/>
  <c r="I161" s="1"/>
  <c r="I162" a="1"/>
  <c r="I162" s="1"/>
  <c r="I163" a="1"/>
  <c r="I163" s="1"/>
  <c r="I164" a="1"/>
  <c r="I164" s="1"/>
  <c r="I165" a="1"/>
  <c r="I165" s="1"/>
  <c r="I166" a="1"/>
  <c r="I166" s="1"/>
  <c r="I167" a="1"/>
  <c r="I167" s="1"/>
  <c r="I168" a="1"/>
  <c r="I168" s="1"/>
  <c r="I169" a="1"/>
  <c r="I169" s="1"/>
  <c r="I170" a="1"/>
  <c r="I170" s="1"/>
  <c r="I171" a="1"/>
  <c r="I171" s="1"/>
  <c r="I172" a="1"/>
  <c r="I172" s="1"/>
  <c r="I173" a="1"/>
  <c r="I173" s="1"/>
  <c r="I174" a="1"/>
  <c r="I174" s="1"/>
  <c r="I175" a="1"/>
  <c r="I175" s="1"/>
  <c r="I176" a="1"/>
  <c r="I176" s="1"/>
  <c r="I177" a="1"/>
  <c r="I177" s="1"/>
  <c r="I178" a="1"/>
  <c r="I178" s="1"/>
  <c r="I179" a="1"/>
  <c r="I179" s="1"/>
  <c r="I180" a="1"/>
  <c r="I180" s="1"/>
  <c r="I181" a="1"/>
  <c r="I181" s="1"/>
  <c r="I182" a="1"/>
  <c r="I182" s="1"/>
  <c r="I183" a="1"/>
  <c r="I183" s="1"/>
  <c r="I184" a="1"/>
  <c r="I184" s="1"/>
  <c r="I185" a="1"/>
  <c r="I185" s="1"/>
  <c r="I186" a="1"/>
  <c r="I186" s="1"/>
  <c r="I187" a="1"/>
  <c r="I187" s="1"/>
  <c r="I188" a="1"/>
  <c r="I188" s="1"/>
  <c r="I189" a="1"/>
  <c r="I189" s="1"/>
  <c r="I190" a="1"/>
  <c r="I190" s="1"/>
  <c r="I191" a="1"/>
  <c r="I191" s="1"/>
  <c r="I192" a="1"/>
  <c r="I192" s="1"/>
  <c r="I193" a="1"/>
  <c r="I193" s="1"/>
  <c r="I194" a="1"/>
  <c r="I194" s="1"/>
  <c r="I195" a="1"/>
  <c r="I195" s="1"/>
  <c r="I196" a="1"/>
  <c r="I196" s="1"/>
  <c r="I197" a="1"/>
  <c r="I197" s="1"/>
  <c r="I198" a="1"/>
  <c r="I198" s="1"/>
  <c r="I199" a="1"/>
  <c r="I199" s="1"/>
  <c r="I200" a="1"/>
  <c r="I200" s="1"/>
  <c r="I201" a="1"/>
  <c r="I201" s="1"/>
  <c r="I202" a="1"/>
  <c r="I202" s="1"/>
  <c r="I203" a="1"/>
  <c r="I203" s="1"/>
  <c r="I204" a="1"/>
  <c r="I204" s="1"/>
  <c r="I205" a="1"/>
  <c r="I205" s="1"/>
  <c r="I206" a="1"/>
  <c r="I206" s="1"/>
  <c r="I207" a="1"/>
  <c r="I207" s="1"/>
  <c r="I208" a="1"/>
  <c r="I208" s="1"/>
  <c r="I209" a="1"/>
  <c r="I209" s="1"/>
  <c r="I210" a="1"/>
  <c r="I210" s="1"/>
  <c r="I211" a="1"/>
  <c r="I211" s="1"/>
  <c r="I212" a="1"/>
  <c r="I212" s="1"/>
  <c r="I213" a="1"/>
  <c r="I213" s="1"/>
  <c r="I214" a="1"/>
  <c r="I214" s="1"/>
  <c r="I215" a="1"/>
  <c r="I215" s="1"/>
  <c r="I216" a="1"/>
  <c r="I216" s="1"/>
  <c r="I217" a="1"/>
  <c r="I217" s="1"/>
  <c r="I218" a="1"/>
  <c r="I218" s="1"/>
  <c r="I219" a="1"/>
  <c r="I219" s="1"/>
  <c r="I220" a="1"/>
  <c r="I220" s="1"/>
  <c r="I221" a="1"/>
  <c r="I221" s="1"/>
  <c r="I222" a="1"/>
  <c r="I222" s="1"/>
  <c r="I223" a="1"/>
  <c r="I223" s="1"/>
  <c r="I224" a="1"/>
  <c r="I224" s="1"/>
  <c r="I225" a="1"/>
  <c r="I225" s="1"/>
  <c r="I226" a="1"/>
  <c r="I226" s="1"/>
  <c r="I227" a="1"/>
  <c r="I227" s="1"/>
  <c r="I228" a="1"/>
  <c r="I228" s="1"/>
  <c r="I229" a="1"/>
  <c r="I229" s="1"/>
  <c r="I230" a="1"/>
  <c r="I230" s="1"/>
  <c r="I231" a="1"/>
  <c r="I231" s="1"/>
  <c r="I232" a="1"/>
  <c r="I232" s="1"/>
  <c r="I233" a="1"/>
  <c r="I233" s="1"/>
  <c r="I234" a="1"/>
  <c r="I234" s="1"/>
  <c r="I235" a="1"/>
  <c r="I235" s="1"/>
  <c r="I236" a="1"/>
  <c r="I236" s="1"/>
  <c r="I237" a="1"/>
  <c r="I237" s="1"/>
  <c r="I238" a="1"/>
  <c r="I238" s="1"/>
  <c r="I239" a="1"/>
  <c r="I239" s="1"/>
  <c r="I240" a="1"/>
  <c r="I240" s="1"/>
  <c r="I241" a="1"/>
  <c r="I241" s="1"/>
  <c r="I242" a="1"/>
  <c r="I242" s="1"/>
  <c r="I243" a="1"/>
  <c r="I243" s="1"/>
  <c r="I244" a="1"/>
  <c r="I244" s="1"/>
  <c r="I245" a="1"/>
  <c r="I245" s="1"/>
  <c r="I246" a="1"/>
  <c r="I246" s="1"/>
  <c r="I247" a="1"/>
  <c r="I247" s="1"/>
  <c r="I248" a="1"/>
  <c r="I248" s="1"/>
  <c r="I249" a="1"/>
  <c r="I249" s="1"/>
  <c r="I250" a="1"/>
  <c r="I250" s="1"/>
  <c r="I251" a="1"/>
  <c r="I251" s="1"/>
  <c r="I252" a="1"/>
  <c r="I252" s="1"/>
  <c r="I253" a="1"/>
  <c r="I253" s="1"/>
  <c r="I254" a="1"/>
  <c r="I254" s="1"/>
  <c r="I255" a="1"/>
  <c r="I255" s="1"/>
  <c r="I256" a="1"/>
  <c r="I256" s="1"/>
  <c r="I257" a="1"/>
  <c r="I257" s="1"/>
  <c r="I258" a="1"/>
  <c r="I258" s="1"/>
  <c r="I259" a="1"/>
  <c r="I259" s="1"/>
  <c r="I260" a="1"/>
  <c r="I260" s="1"/>
  <c r="I261" a="1"/>
  <c r="I261" s="1"/>
  <c r="I262" a="1"/>
  <c r="I262" s="1"/>
  <c r="I263" a="1"/>
  <c r="I263" s="1"/>
  <c r="I264" a="1"/>
  <c r="I264" s="1"/>
  <c r="I265" a="1"/>
  <c r="I265" s="1"/>
  <c r="I266" a="1"/>
  <c r="I266" s="1"/>
  <c r="I267" a="1"/>
  <c r="I267" s="1"/>
  <c r="I268" a="1"/>
  <c r="I268" s="1"/>
  <c r="I269" a="1"/>
  <c r="I269" s="1"/>
  <c r="I270" a="1"/>
  <c r="I270" s="1"/>
  <c r="I271" a="1"/>
  <c r="I271" s="1"/>
  <c r="I272" a="1"/>
  <c r="I272" s="1"/>
  <c r="I273" a="1"/>
  <c r="I273" s="1"/>
  <c r="I274" a="1"/>
  <c r="I274" s="1"/>
  <c r="I275" a="1"/>
  <c r="I275" s="1"/>
  <c r="I276" a="1"/>
  <c r="I276" s="1"/>
  <c r="I277" a="1"/>
  <c r="I277" s="1"/>
  <c r="I278" a="1"/>
  <c r="I278" s="1"/>
  <c r="I279" a="1"/>
  <c r="I279" s="1"/>
  <c r="I280" a="1"/>
  <c r="I280" s="1"/>
  <c r="I281" a="1"/>
  <c r="I281" s="1"/>
  <c r="I282" a="1"/>
  <c r="I282" s="1"/>
  <c r="I283" a="1"/>
  <c r="I283" s="1"/>
  <c r="I284" a="1"/>
  <c r="I284" s="1"/>
  <c r="I285" a="1"/>
  <c r="I285" s="1"/>
  <c r="I286" a="1"/>
  <c r="I286" s="1"/>
  <c r="I287" a="1"/>
  <c r="I287" s="1"/>
  <c r="I288" a="1"/>
  <c r="I288" s="1"/>
  <c r="I289" a="1"/>
  <c r="I289" s="1"/>
  <c r="I290" a="1"/>
  <c r="I290" s="1"/>
  <c r="I291" a="1"/>
  <c r="I291" s="1"/>
  <c r="I292" a="1"/>
  <c r="I292" s="1"/>
  <c r="I293" a="1"/>
  <c r="I293" s="1"/>
  <c r="I294" a="1"/>
  <c r="I294" s="1"/>
  <c r="I295" a="1"/>
  <c r="I295" s="1"/>
  <c r="I296" a="1"/>
  <c r="I296" s="1"/>
  <c r="I297" a="1"/>
  <c r="I297" s="1"/>
  <c r="I298" a="1"/>
  <c r="I298" s="1"/>
  <c r="I299" a="1"/>
  <c r="I299" s="1"/>
  <c r="I300" a="1"/>
  <c r="I300" s="1"/>
  <c r="I301" a="1"/>
  <c r="I301" s="1"/>
  <c r="I302" a="1"/>
  <c r="I302" s="1"/>
  <c r="I303" a="1"/>
  <c r="I303" s="1"/>
  <c r="I304" a="1"/>
  <c r="I304" s="1"/>
  <c r="I305" a="1"/>
  <c r="I305" s="1"/>
  <c r="I306" a="1"/>
  <c r="I306" s="1"/>
  <c r="I307" a="1"/>
  <c r="I307" s="1"/>
  <c r="J41"/>
  <c r="J42"/>
  <c r="J43"/>
  <c r="J44"/>
  <c r="J45"/>
  <c r="J46"/>
  <c r="J47"/>
  <c r="J48"/>
  <c r="J49"/>
  <c r="J50"/>
  <c r="J51"/>
  <c r="J52"/>
  <c r="J53"/>
  <c r="J54"/>
  <c r="J55"/>
  <c r="J56"/>
  <c r="J57"/>
  <c r="J58"/>
  <c r="J59"/>
  <c r="J60"/>
  <c r="J61"/>
  <c r="J62"/>
  <c r="J63"/>
  <c r="J64"/>
  <c r="J65"/>
  <c r="J66"/>
  <c r="J67"/>
  <c r="J68"/>
  <c r="J69"/>
  <c r="J70"/>
  <c r="J71"/>
  <c r="J72"/>
  <c r="J73"/>
  <c r="J74"/>
  <c r="J75"/>
  <c r="J76"/>
  <c r="J77"/>
  <c r="J78"/>
  <c r="J79"/>
  <c r="J80"/>
  <c r="J81"/>
  <c r="J82"/>
  <c r="J83"/>
  <c r="J84"/>
  <c r="J85"/>
  <c r="J86"/>
  <c r="J87"/>
  <c r="J88"/>
  <c r="J89"/>
  <c r="J90"/>
  <c r="J91"/>
  <c r="J92"/>
  <c r="J93"/>
  <c r="J94"/>
  <c r="J95"/>
  <c r="J96"/>
  <c r="J97"/>
  <c r="J98"/>
  <c r="J99"/>
  <c r="J100"/>
  <c r="J101"/>
  <c r="J102"/>
  <c r="J103"/>
  <c r="J104"/>
  <c r="J105"/>
  <c r="J106"/>
  <c r="J107"/>
  <c r="J108"/>
  <c r="J109"/>
  <c r="J110"/>
  <c r="J111"/>
  <c r="J112"/>
  <c r="J113"/>
  <c r="J114"/>
  <c r="J115"/>
  <c r="J116"/>
  <c r="J117"/>
  <c r="J118"/>
  <c r="J119"/>
  <c r="J120"/>
  <c r="J121"/>
  <c r="J122"/>
  <c r="J123"/>
  <c r="J124"/>
  <c r="J125"/>
  <c r="J126"/>
  <c r="J127"/>
  <c r="J128"/>
  <c r="J129"/>
  <c r="J130"/>
  <c r="J131"/>
  <c r="J132"/>
  <c r="J133"/>
  <c r="J134"/>
  <c r="J135"/>
  <c r="J136"/>
  <c r="J137"/>
  <c r="J138"/>
  <c r="J139"/>
  <c r="J140"/>
  <c r="J141"/>
  <c r="J142"/>
  <c r="J143"/>
  <c r="J144"/>
  <c r="J145"/>
  <c r="J146"/>
  <c r="J147"/>
  <c r="J148"/>
  <c r="J149"/>
  <c r="J150"/>
  <c r="J151"/>
  <c r="J152"/>
  <c r="J153"/>
  <c r="J154"/>
  <c r="J155"/>
  <c r="J156"/>
  <c r="J157"/>
  <c r="J158"/>
  <c r="J159"/>
  <c r="J160"/>
  <c r="J161"/>
  <c r="J162"/>
  <c r="J163"/>
  <c r="J164"/>
  <c r="J165"/>
  <c r="J166"/>
  <c r="J167"/>
  <c r="J168"/>
  <c r="J169"/>
  <c r="J170"/>
  <c r="J171"/>
  <c r="J172"/>
  <c r="J173"/>
  <c r="J174"/>
  <c r="J175"/>
  <c r="J176"/>
  <c r="J177"/>
  <c r="J178"/>
  <c r="J179"/>
  <c r="J180"/>
  <c r="J181"/>
  <c r="J182"/>
  <c r="J183"/>
  <c r="J184"/>
  <c r="J185"/>
  <c r="J186"/>
  <c r="J187"/>
  <c r="J188"/>
  <c r="J189"/>
  <c r="J190"/>
  <c r="J191"/>
  <c r="J192"/>
  <c r="J193"/>
  <c r="J194"/>
  <c r="J195"/>
  <c r="J196"/>
  <c r="J197"/>
  <c r="J198"/>
  <c r="J199"/>
  <c r="J200"/>
  <c r="J201"/>
  <c r="J202"/>
  <c r="J203"/>
  <c r="J204"/>
  <c r="J205"/>
  <c r="J206"/>
  <c r="J207"/>
  <c r="J208"/>
  <c r="J209"/>
  <c r="J210"/>
  <c r="J211"/>
  <c r="J212"/>
  <c r="J213"/>
  <c r="J214"/>
  <c r="J215"/>
  <c r="J216"/>
  <c r="J217"/>
  <c r="J218"/>
  <c r="J219"/>
  <c r="J220"/>
  <c r="J221"/>
  <c r="J222"/>
  <c r="J223"/>
  <c r="J224"/>
  <c r="J225"/>
  <c r="J226"/>
  <c r="J227"/>
  <c r="J228"/>
  <c r="J229"/>
  <c r="J230"/>
  <c r="J231"/>
  <c r="J232"/>
  <c r="J233"/>
  <c r="J234"/>
  <c r="J235"/>
  <c r="J236"/>
  <c r="J237"/>
  <c r="J238"/>
  <c r="J239"/>
  <c r="J240"/>
  <c r="J241"/>
  <c r="J242"/>
  <c r="J243"/>
  <c r="J244"/>
  <c r="J245"/>
  <c r="J246"/>
  <c r="J247"/>
  <c r="J248"/>
  <c r="J249"/>
  <c r="J250"/>
  <c r="J251"/>
  <c r="J252"/>
  <c r="J253"/>
  <c r="J254"/>
  <c r="J255"/>
  <c r="J256"/>
  <c r="J257"/>
  <c r="J258"/>
  <c r="J259"/>
  <c r="J260"/>
  <c r="J261"/>
  <c r="J262"/>
  <c r="J263"/>
  <c r="J264"/>
  <c r="J265"/>
  <c r="J266"/>
  <c r="J267"/>
  <c r="J268"/>
  <c r="J269"/>
  <c r="J270"/>
  <c r="J271"/>
  <c r="J272"/>
  <c r="J273"/>
  <c r="J274"/>
  <c r="J275"/>
  <c r="J276"/>
  <c r="J277"/>
  <c r="J278"/>
  <c r="J279"/>
  <c r="J280"/>
  <c r="J281"/>
  <c r="J282"/>
  <c r="J283"/>
  <c r="J284"/>
  <c r="J285"/>
  <c r="J286"/>
  <c r="J287"/>
  <c r="J288"/>
  <c r="J289"/>
  <c r="J290"/>
  <c r="J291"/>
  <c r="J292"/>
  <c r="J293"/>
  <c r="J294"/>
  <c r="J295"/>
  <c r="J296"/>
  <c r="J297"/>
  <c r="J298"/>
  <c r="J299"/>
  <c r="J300"/>
  <c r="J301"/>
  <c r="J302"/>
  <c r="J303"/>
  <c r="J304"/>
  <c r="J305"/>
  <c r="J306"/>
  <c r="J307"/>
  <c r="C93" i="15" a="1"/>
  <c r="C93" s="1"/>
  <c r="J51" i="5"/>
  <c r="J52"/>
  <c r="J53"/>
  <c r="J54"/>
  <c r="J55"/>
  <c r="J56"/>
  <c r="J57"/>
  <c r="J58"/>
  <c r="J59"/>
  <c r="J60"/>
  <c r="J61"/>
  <c r="J62"/>
  <c r="J63"/>
  <c r="J64"/>
  <c r="J65"/>
  <c r="J66"/>
  <c r="J67"/>
  <c r="J68"/>
  <c r="J69"/>
  <c r="J70"/>
  <c r="J71"/>
  <c r="J72"/>
  <c r="J73"/>
  <c r="J74"/>
  <c r="J75"/>
  <c r="J76"/>
  <c r="J77"/>
  <c r="J78"/>
  <c r="J79"/>
  <c r="J80"/>
  <c r="J81"/>
  <c r="J82"/>
  <c r="J83"/>
  <c r="J84"/>
  <c r="J85"/>
  <c r="J86"/>
  <c r="J87"/>
  <c r="J88"/>
  <c r="J89"/>
  <c r="J90"/>
  <c r="J91"/>
  <c r="J92"/>
  <c r="J93"/>
  <c r="J94"/>
  <c r="J95"/>
  <c r="J96"/>
  <c r="J97"/>
  <c r="J98"/>
  <c r="J99"/>
  <c r="J100"/>
  <c r="J101"/>
  <c r="J102"/>
  <c r="J103"/>
  <c r="J104"/>
  <c r="J105"/>
  <c r="J106"/>
  <c r="J107"/>
  <c r="J108"/>
  <c r="J109"/>
  <c r="J110"/>
  <c r="J111"/>
  <c r="J112"/>
  <c r="J113"/>
  <c r="J114"/>
  <c r="J115"/>
  <c r="J116"/>
  <c r="J117"/>
  <c r="J118"/>
  <c r="J119"/>
  <c r="J120"/>
  <c r="J121"/>
  <c r="J122"/>
  <c r="J123"/>
  <c r="J124"/>
  <c r="J125"/>
  <c r="J126"/>
  <c r="J127"/>
  <c r="J128"/>
  <c r="J129"/>
  <c r="J130"/>
  <c r="J131"/>
  <c r="J132"/>
  <c r="J133"/>
  <c r="J134"/>
  <c r="J135"/>
  <c r="J136"/>
  <c r="J137"/>
  <c r="J138"/>
  <c r="J139"/>
  <c r="J140"/>
  <c r="J141"/>
  <c r="J142"/>
  <c r="J143"/>
  <c r="J144"/>
  <c r="J145"/>
  <c r="J146"/>
  <c r="J147"/>
  <c r="J148"/>
  <c r="J149"/>
  <c r="J150"/>
  <c r="J151"/>
  <c r="J152"/>
  <c r="J153"/>
  <c r="J154"/>
  <c r="J155"/>
  <c r="J156"/>
  <c r="J157"/>
  <c r="J158"/>
  <c r="J159"/>
  <c r="J160"/>
  <c r="J161"/>
  <c r="J162"/>
  <c r="J163"/>
  <c r="J164"/>
  <c r="J165"/>
  <c r="J166"/>
  <c r="J167"/>
  <c r="J168"/>
  <c r="J169"/>
  <c r="J170"/>
  <c r="J171"/>
  <c r="J172"/>
  <c r="J173"/>
  <c r="J174"/>
  <c r="J175"/>
  <c r="J176"/>
  <c r="J177"/>
  <c r="J178"/>
  <c r="J179"/>
  <c r="J180"/>
  <c r="J181"/>
  <c r="J182"/>
  <c r="J183"/>
  <c r="J184"/>
  <c r="J185"/>
  <c r="J186"/>
  <c r="J187"/>
  <c r="J188"/>
  <c r="J189"/>
  <c r="J190"/>
  <c r="J191"/>
  <c r="J192"/>
  <c r="J193"/>
  <c r="J194"/>
  <c r="J195"/>
  <c r="J196"/>
  <c r="J197"/>
  <c r="J198"/>
  <c r="J199"/>
  <c r="J200"/>
  <c r="J201"/>
  <c r="J202"/>
  <c r="J203"/>
  <c r="J204"/>
  <c r="J205"/>
  <c r="J206"/>
  <c r="J207"/>
  <c r="J208"/>
  <c r="J209"/>
  <c r="J210"/>
  <c r="J211"/>
  <c r="J212"/>
  <c r="J213"/>
  <c r="J214"/>
  <c r="J215"/>
  <c r="J216"/>
  <c r="J217"/>
  <c r="J218"/>
  <c r="J219"/>
  <c r="J220"/>
  <c r="J221"/>
  <c r="J222"/>
  <c r="J223"/>
  <c r="J224"/>
  <c r="J225"/>
  <c r="J226"/>
  <c r="J227"/>
  <c r="J228"/>
  <c r="J229"/>
  <c r="J230"/>
  <c r="J231"/>
  <c r="J232"/>
  <c r="J233"/>
  <c r="J234"/>
  <c r="J235"/>
  <c r="J236"/>
  <c r="J237"/>
  <c r="J238"/>
  <c r="J239"/>
  <c r="J240"/>
  <c r="J241"/>
  <c r="J242"/>
  <c r="J243"/>
  <c r="J244"/>
  <c r="J245"/>
  <c r="J246"/>
  <c r="J247"/>
  <c r="J248"/>
  <c r="J249"/>
  <c r="J250"/>
  <c r="J251"/>
  <c r="J252"/>
  <c r="J253"/>
  <c r="J254"/>
  <c r="J255"/>
  <c r="J256"/>
  <c r="J257"/>
  <c r="J258"/>
  <c r="J259"/>
  <c r="J260"/>
  <c r="J261"/>
  <c r="J262"/>
  <c r="J263"/>
  <c r="J264"/>
  <c r="J265"/>
  <c r="J266"/>
  <c r="J267"/>
  <c r="J268"/>
  <c r="J269"/>
  <c r="J270"/>
  <c r="J271"/>
  <c r="J272"/>
  <c r="J273"/>
  <c r="J274"/>
  <c r="J275"/>
  <c r="J276"/>
  <c r="J277"/>
  <c r="J278"/>
  <c r="J279"/>
  <c r="J280"/>
  <c r="J281"/>
  <c r="J282"/>
  <c r="J283"/>
  <c r="J284"/>
  <c r="J285"/>
  <c r="J286"/>
  <c r="J287"/>
  <c r="J288"/>
  <c r="J289"/>
  <c r="J290"/>
  <c r="J291"/>
  <c r="J292"/>
  <c r="J293"/>
  <c r="J294"/>
  <c r="J295"/>
  <c r="J296"/>
  <c r="J297"/>
  <c r="J298"/>
  <c r="J299"/>
  <c r="J300"/>
  <c r="J301"/>
  <c r="J302"/>
  <c r="J303"/>
  <c r="J304"/>
  <c r="J305"/>
  <c r="J306"/>
  <c r="J307"/>
  <c r="K51" a="1"/>
  <c r="K51" s="1"/>
  <c r="K52" a="1"/>
  <c r="K52" s="1"/>
  <c r="K53" a="1"/>
  <c r="K53" s="1"/>
  <c r="K54" a="1"/>
  <c r="K54" s="1"/>
  <c r="K55" a="1"/>
  <c r="K55" s="1"/>
  <c r="K56" a="1"/>
  <c r="K56" s="1"/>
  <c r="K57" a="1"/>
  <c r="K57" s="1"/>
  <c r="K58" a="1"/>
  <c r="K58" s="1"/>
  <c r="K59" a="1"/>
  <c r="K59" s="1"/>
  <c r="K60" a="1"/>
  <c r="K60" s="1"/>
  <c r="K61" a="1"/>
  <c r="K61" s="1"/>
  <c r="K62" a="1"/>
  <c r="K62" s="1"/>
  <c r="K63" a="1"/>
  <c r="K63" s="1"/>
  <c r="K64" a="1"/>
  <c r="K64" s="1"/>
  <c r="K65" a="1"/>
  <c r="K65" s="1"/>
  <c r="K66" a="1"/>
  <c r="K66" s="1"/>
  <c r="K67" a="1"/>
  <c r="K67" s="1"/>
  <c r="K68" a="1"/>
  <c r="K68" s="1"/>
  <c r="K69" a="1"/>
  <c r="K69" s="1"/>
  <c r="K70" a="1"/>
  <c r="K70" s="1"/>
  <c r="K71" a="1"/>
  <c r="K71" s="1"/>
  <c r="K72" a="1"/>
  <c r="K72" s="1"/>
  <c r="K73" a="1"/>
  <c r="K73" s="1"/>
  <c r="K74" a="1"/>
  <c r="K74" s="1"/>
  <c r="K75" a="1"/>
  <c r="K75" s="1"/>
  <c r="K76" a="1"/>
  <c r="K76" s="1"/>
  <c r="K77" a="1"/>
  <c r="K77" s="1"/>
  <c r="K78" a="1"/>
  <c r="K78" s="1"/>
  <c r="K79" a="1"/>
  <c r="K79" s="1"/>
  <c r="K80" a="1"/>
  <c r="K80" s="1"/>
  <c r="K81" a="1"/>
  <c r="K81" s="1"/>
  <c r="K82" a="1"/>
  <c r="K82" s="1"/>
  <c r="K83" a="1"/>
  <c r="K83" s="1"/>
  <c r="K84" a="1"/>
  <c r="K84" s="1"/>
  <c r="K85" a="1"/>
  <c r="K85" s="1"/>
  <c r="K86" a="1"/>
  <c r="K86" s="1"/>
  <c r="K87" a="1"/>
  <c r="K87" s="1"/>
  <c r="K88" a="1"/>
  <c r="K88" s="1"/>
  <c r="K89" a="1"/>
  <c r="K89" s="1"/>
  <c r="K90" a="1"/>
  <c r="K90" s="1"/>
  <c r="K91" a="1"/>
  <c r="K91" s="1"/>
  <c r="K92" a="1"/>
  <c r="K92" s="1"/>
  <c r="K93" a="1"/>
  <c r="K93" s="1"/>
  <c r="K94" a="1"/>
  <c r="K94" s="1"/>
  <c r="K95" a="1"/>
  <c r="K95" s="1"/>
  <c r="K96" a="1"/>
  <c r="K96" s="1"/>
  <c r="K97" a="1"/>
  <c r="K97" s="1"/>
  <c r="K98" a="1"/>
  <c r="K98" s="1"/>
  <c r="K99" a="1"/>
  <c r="K99" s="1"/>
  <c r="K100" a="1"/>
  <c r="K100" s="1"/>
  <c r="K101" a="1"/>
  <c r="K101" s="1"/>
  <c r="K102" a="1"/>
  <c r="K102" s="1"/>
  <c r="K103" a="1"/>
  <c r="K103" s="1"/>
  <c r="K104" a="1"/>
  <c r="K104" s="1"/>
  <c r="K105" a="1"/>
  <c r="K105" s="1"/>
  <c r="K106" a="1"/>
  <c r="K106" s="1"/>
  <c r="K107" a="1"/>
  <c r="K107" s="1"/>
  <c r="K108" a="1"/>
  <c r="K108" s="1"/>
  <c r="K109" a="1"/>
  <c r="K109" s="1"/>
  <c r="K110" a="1"/>
  <c r="K110" s="1"/>
  <c r="K111" a="1"/>
  <c r="K111" s="1"/>
  <c r="K112" a="1"/>
  <c r="K112" s="1"/>
  <c r="K113" a="1"/>
  <c r="K113" s="1"/>
  <c r="K114" a="1"/>
  <c r="K114" s="1"/>
  <c r="K115" a="1"/>
  <c r="K115" s="1"/>
  <c r="K116" a="1"/>
  <c r="K116" s="1"/>
  <c r="K117" a="1"/>
  <c r="K117" s="1"/>
  <c r="K118" a="1"/>
  <c r="K118" s="1"/>
  <c r="K119" a="1"/>
  <c r="K119" s="1"/>
  <c r="K120" a="1"/>
  <c r="K120" s="1"/>
  <c r="K121" a="1"/>
  <c r="K121" s="1"/>
  <c r="K122" a="1"/>
  <c r="K122" s="1"/>
  <c r="K123" a="1"/>
  <c r="K123" s="1"/>
  <c r="K124" a="1"/>
  <c r="K124" s="1"/>
  <c r="K125" a="1"/>
  <c r="K125" s="1"/>
  <c r="K126" a="1"/>
  <c r="K126" s="1"/>
  <c r="K127" a="1"/>
  <c r="K127" s="1"/>
  <c r="K128" a="1"/>
  <c r="K128" s="1"/>
  <c r="K129" a="1"/>
  <c r="K129" s="1"/>
  <c r="K130" a="1"/>
  <c r="K130" s="1"/>
  <c r="K131" a="1"/>
  <c r="K131" s="1"/>
  <c r="K132" a="1"/>
  <c r="K132" s="1"/>
  <c r="K133" a="1"/>
  <c r="K133" s="1"/>
  <c r="K134" a="1"/>
  <c r="K134" s="1"/>
  <c r="K135" a="1"/>
  <c r="K135" s="1"/>
  <c r="K136" a="1"/>
  <c r="K136" s="1"/>
  <c r="K137" a="1"/>
  <c r="K137" s="1"/>
  <c r="K138" a="1"/>
  <c r="K138" s="1"/>
  <c r="K139" a="1"/>
  <c r="K139" s="1"/>
  <c r="K140" a="1"/>
  <c r="K140" s="1"/>
  <c r="K141" a="1"/>
  <c r="K141" s="1"/>
  <c r="K142" a="1"/>
  <c r="K142" s="1"/>
  <c r="K143" a="1"/>
  <c r="K143" s="1"/>
  <c r="K144" a="1"/>
  <c r="K144" s="1"/>
  <c r="K145" a="1"/>
  <c r="K145" s="1"/>
  <c r="K146" a="1"/>
  <c r="K146" s="1"/>
  <c r="K147" a="1"/>
  <c r="K147" s="1"/>
  <c r="K148" a="1"/>
  <c r="K148" s="1"/>
  <c r="K149" a="1"/>
  <c r="K149" s="1"/>
  <c r="K150" a="1"/>
  <c r="K150" s="1"/>
  <c r="K151" a="1"/>
  <c r="K151" s="1"/>
  <c r="K152" a="1"/>
  <c r="K152" s="1"/>
  <c r="K153" a="1"/>
  <c r="K153" s="1"/>
  <c r="K154" a="1"/>
  <c r="K154" s="1"/>
  <c r="K155" a="1"/>
  <c r="K155" s="1"/>
  <c r="K156" a="1"/>
  <c r="K156" s="1"/>
  <c r="K157" a="1"/>
  <c r="K157" s="1"/>
  <c r="K158" a="1"/>
  <c r="K158" s="1"/>
  <c r="K159" a="1"/>
  <c r="K159" s="1"/>
  <c r="K160" a="1"/>
  <c r="K160" s="1"/>
  <c r="K161" a="1"/>
  <c r="K161" s="1"/>
  <c r="K162" a="1"/>
  <c r="K162" s="1"/>
  <c r="K163" a="1"/>
  <c r="K163" s="1"/>
  <c r="K164" a="1"/>
  <c r="K164" s="1"/>
  <c r="K165" a="1"/>
  <c r="K165" s="1"/>
  <c r="K166" a="1"/>
  <c r="K166" s="1"/>
  <c r="K167" a="1"/>
  <c r="K167" s="1"/>
  <c r="K168" a="1"/>
  <c r="K168" s="1"/>
  <c r="K169" a="1"/>
  <c r="K169" s="1"/>
  <c r="K170" a="1"/>
  <c r="K170" s="1"/>
  <c r="K171" a="1"/>
  <c r="K171" s="1"/>
  <c r="K172" a="1"/>
  <c r="K172" s="1"/>
  <c r="K173" a="1"/>
  <c r="K173" s="1"/>
  <c r="K174" a="1"/>
  <c r="K174" s="1"/>
  <c r="K175" a="1"/>
  <c r="K175" s="1"/>
  <c r="K176" a="1"/>
  <c r="K176" s="1"/>
  <c r="K177" a="1"/>
  <c r="K177" s="1"/>
  <c r="K178" a="1"/>
  <c r="K178" s="1"/>
  <c r="K179" a="1"/>
  <c r="K179" s="1"/>
  <c r="K180" a="1"/>
  <c r="K180" s="1"/>
  <c r="K181" a="1"/>
  <c r="K181" s="1"/>
  <c r="K182" a="1"/>
  <c r="K182" s="1"/>
  <c r="K183" a="1"/>
  <c r="K183" s="1"/>
  <c r="K184" a="1"/>
  <c r="K184" s="1"/>
  <c r="K185" a="1"/>
  <c r="K185" s="1"/>
  <c r="K186" a="1"/>
  <c r="K186" s="1"/>
  <c r="K187" a="1"/>
  <c r="K187" s="1"/>
  <c r="K188" a="1"/>
  <c r="K188" s="1"/>
  <c r="K189" a="1"/>
  <c r="K189" s="1"/>
  <c r="K190" a="1"/>
  <c r="K190" s="1"/>
  <c r="K191" a="1"/>
  <c r="K191" s="1"/>
  <c r="K192" a="1"/>
  <c r="K192" s="1"/>
  <c r="K193" a="1"/>
  <c r="K193" s="1"/>
  <c r="K194" a="1"/>
  <c r="K194" s="1"/>
  <c r="K195" a="1"/>
  <c r="K195" s="1"/>
  <c r="K196" a="1"/>
  <c r="K196" s="1"/>
  <c r="K197" a="1"/>
  <c r="K197" s="1"/>
  <c r="K198" a="1"/>
  <c r="K198" s="1"/>
  <c r="K199" a="1"/>
  <c r="K199" s="1"/>
  <c r="K200" a="1"/>
  <c r="K200" s="1"/>
  <c r="K201" a="1"/>
  <c r="K201" s="1"/>
  <c r="K202" a="1"/>
  <c r="K202" s="1"/>
  <c r="K203" a="1"/>
  <c r="K203" s="1"/>
  <c r="K204" a="1"/>
  <c r="K204" s="1"/>
  <c r="K205" a="1"/>
  <c r="K205" s="1"/>
  <c r="K206" a="1"/>
  <c r="K206" s="1"/>
  <c r="K207" a="1"/>
  <c r="K207" s="1"/>
  <c r="K208" a="1"/>
  <c r="K208" s="1"/>
  <c r="K209" a="1"/>
  <c r="K209" s="1"/>
  <c r="K210" a="1"/>
  <c r="K210" s="1"/>
  <c r="K211" a="1"/>
  <c r="K211" s="1"/>
  <c r="K212" a="1"/>
  <c r="K212" s="1"/>
  <c r="K213" a="1"/>
  <c r="K213" s="1"/>
  <c r="K214" a="1"/>
  <c r="K214" s="1"/>
  <c r="K215" a="1"/>
  <c r="K215" s="1"/>
  <c r="K216" a="1"/>
  <c r="K216" s="1"/>
  <c r="K217" a="1"/>
  <c r="K217" s="1"/>
  <c r="K218" a="1"/>
  <c r="K218" s="1"/>
  <c r="K219" a="1"/>
  <c r="K219" s="1"/>
  <c r="K220" a="1"/>
  <c r="K220" s="1"/>
  <c r="K221" a="1"/>
  <c r="K221" s="1"/>
  <c r="K222" a="1"/>
  <c r="K222" s="1"/>
  <c r="K223" a="1"/>
  <c r="K223" s="1"/>
  <c r="K224" a="1"/>
  <c r="K224" s="1"/>
  <c r="K225" a="1"/>
  <c r="K225" s="1"/>
  <c r="K226" a="1"/>
  <c r="K226" s="1"/>
  <c r="K227" a="1"/>
  <c r="K227" s="1"/>
  <c r="K228" a="1"/>
  <c r="K228" s="1"/>
  <c r="K229" a="1"/>
  <c r="K229" s="1"/>
  <c r="K230" a="1"/>
  <c r="K230" s="1"/>
  <c r="K231" a="1"/>
  <c r="K231" s="1"/>
  <c r="K232" a="1"/>
  <c r="K232" s="1"/>
  <c r="K233" a="1"/>
  <c r="K233" s="1"/>
  <c r="K234" a="1"/>
  <c r="K234" s="1"/>
  <c r="K235" a="1"/>
  <c r="K235" s="1"/>
  <c r="K236" a="1"/>
  <c r="K236" s="1"/>
  <c r="K237" a="1"/>
  <c r="K237" s="1"/>
  <c r="K238" a="1"/>
  <c r="K238" s="1"/>
  <c r="K239" a="1"/>
  <c r="K239" s="1"/>
  <c r="K240" a="1"/>
  <c r="K240" s="1"/>
  <c r="K241" a="1"/>
  <c r="K241" s="1"/>
  <c r="K242" a="1"/>
  <c r="K242" s="1"/>
  <c r="K243" a="1"/>
  <c r="K243" s="1"/>
  <c r="K244" a="1"/>
  <c r="K244" s="1"/>
  <c r="K245" a="1"/>
  <c r="K245" s="1"/>
  <c r="K246" a="1"/>
  <c r="K246" s="1"/>
  <c r="K247" a="1"/>
  <c r="K247" s="1"/>
  <c r="K248" a="1"/>
  <c r="K248" s="1"/>
  <c r="K249" a="1"/>
  <c r="K249" s="1"/>
  <c r="K250" a="1"/>
  <c r="K250" s="1"/>
  <c r="K251" a="1"/>
  <c r="K251" s="1"/>
  <c r="K252" a="1"/>
  <c r="K252" s="1"/>
  <c r="K253" a="1"/>
  <c r="K253" s="1"/>
  <c r="K254" a="1"/>
  <c r="K254" s="1"/>
  <c r="K255" a="1"/>
  <c r="K255" s="1"/>
  <c r="K256" a="1"/>
  <c r="K256" s="1"/>
  <c r="K257" a="1"/>
  <c r="K257" s="1"/>
  <c r="K258" a="1"/>
  <c r="K258" s="1"/>
  <c r="K259" a="1"/>
  <c r="K259" s="1"/>
  <c r="K260" a="1"/>
  <c r="K260" s="1"/>
  <c r="K261" a="1"/>
  <c r="K261" s="1"/>
  <c r="K262" a="1"/>
  <c r="K262" s="1"/>
  <c r="K263" a="1"/>
  <c r="K263" s="1"/>
  <c r="K264" a="1"/>
  <c r="K264" s="1"/>
  <c r="K265" a="1"/>
  <c r="K265" s="1"/>
  <c r="K266" a="1"/>
  <c r="K266" s="1"/>
  <c r="K267" a="1"/>
  <c r="K267" s="1"/>
  <c r="K268" a="1"/>
  <c r="K268" s="1"/>
  <c r="K269" a="1"/>
  <c r="K269" s="1"/>
  <c r="K270" a="1"/>
  <c r="K270" s="1"/>
  <c r="K271" a="1"/>
  <c r="K271" s="1"/>
  <c r="K272" a="1"/>
  <c r="K272" s="1"/>
  <c r="K273" a="1"/>
  <c r="K273" s="1"/>
  <c r="K274" a="1"/>
  <c r="K274" s="1"/>
  <c r="K275" a="1"/>
  <c r="K275" s="1"/>
  <c r="K276" a="1"/>
  <c r="K276" s="1"/>
  <c r="K277" a="1"/>
  <c r="K277" s="1"/>
  <c r="K278" a="1"/>
  <c r="K278" s="1"/>
  <c r="K279" a="1"/>
  <c r="K279" s="1"/>
  <c r="K280" a="1"/>
  <c r="K280" s="1"/>
  <c r="K281" a="1"/>
  <c r="K281" s="1"/>
  <c r="K282" a="1"/>
  <c r="K282" s="1"/>
  <c r="K283" a="1"/>
  <c r="K283" s="1"/>
  <c r="K284" a="1"/>
  <c r="K284" s="1"/>
  <c r="K285" a="1"/>
  <c r="K285" s="1"/>
  <c r="K286" a="1"/>
  <c r="K286" s="1"/>
  <c r="K287" a="1"/>
  <c r="K287" s="1"/>
  <c r="K288" a="1"/>
  <c r="K288" s="1"/>
  <c r="K289" a="1"/>
  <c r="K289" s="1"/>
  <c r="K290" a="1"/>
  <c r="K290" s="1"/>
  <c r="K291" a="1"/>
  <c r="K291" s="1"/>
  <c r="K292" a="1"/>
  <c r="K292" s="1"/>
  <c r="K293" a="1"/>
  <c r="K293" s="1"/>
  <c r="K294" a="1"/>
  <c r="K294" s="1"/>
  <c r="K295" a="1"/>
  <c r="K295" s="1"/>
  <c r="K296" a="1"/>
  <c r="K296" s="1"/>
  <c r="K297" a="1"/>
  <c r="K297" s="1"/>
  <c r="K298" a="1"/>
  <c r="K298" s="1"/>
  <c r="K299" a="1"/>
  <c r="K299" s="1"/>
  <c r="K300" a="1"/>
  <c r="K300" s="1"/>
  <c r="K301" a="1"/>
  <c r="K301" s="1"/>
  <c r="K302" a="1"/>
  <c r="K302" s="1"/>
  <c r="K303" a="1"/>
  <c r="K303" s="1"/>
  <c r="K304" a="1"/>
  <c r="K304" s="1"/>
  <c r="K305" a="1"/>
  <c r="K305" s="1"/>
  <c r="K306" a="1"/>
  <c r="K306" s="1"/>
  <c r="K307" a="1"/>
  <c r="K307" s="1"/>
  <c r="L51"/>
  <c r="L52"/>
  <c r="L53"/>
  <c r="L54"/>
  <c r="L55"/>
  <c r="L56"/>
  <c r="L57"/>
  <c r="L58"/>
  <c r="L59"/>
  <c r="L60"/>
  <c r="L61"/>
  <c r="L62"/>
  <c r="L63"/>
  <c r="L64"/>
  <c r="L65"/>
  <c r="L66"/>
  <c r="L67"/>
  <c r="L68"/>
  <c r="L69"/>
  <c r="L70"/>
  <c r="L71"/>
  <c r="L72"/>
  <c r="L73"/>
  <c r="L74"/>
  <c r="L75"/>
  <c r="L76"/>
  <c r="L77"/>
  <c r="L78"/>
  <c r="L79"/>
  <c r="L80"/>
  <c r="L81"/>
  <c r="L82"/>
  <c r="L83"/>
  <c r="L84"/>
  <c r="L85"/>
  <c r="L86"/>
  <c r="L87"/>
  <c r="L88"/>
  <c r="L89"/>
  <c r="L90"/>
  <c r="L91"/>
  <c r="L92"/>
  <c r="L93"/>
  <c r="L94"/>
  <c r="L95"/>
  <c r="L96"/>
  <c r="L97"/>
  <c r="L98"/>
  <c r="L99"/>
  <c r="L100"/>
  <c r="L101"/>
  <c r="L102"/>
  <c r="L103"/>
  <c r="L104"/>
  <c r="L105"/>
  <c r="L106"/>
  <c r="L107"/>
  <c r="L108"/>
  <c r="L109"/>
  <c r="L110"/>
  <c r="L111"/>
  <c r="L112"/>
  <c r="L113"/>
  <c r="L114"/>
  <c r="L115"/>
  <c r="L116"/>
  <c r="L117"/>
  <c r="L118"/>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4"/>
  <c r="L155"/>
  <c r="L156"/>
  <c r="L157"/>
  <c r="L158"/>
  <c r="L159"/>
  <c r="L160"/>
  <c r="L161"/>
  <c r="L162"/>
  <c r="L163"/>
  <c r="L164"/>
  <c r="L165"/>
  <c r="L166"/>
  <c r="L167"/>
  <c r="L168"/>
  <c r="L169"/>
  <c r="L170"/>
  <c r="L171"/>
  <c r="L172"/>
  <c r="L173"/>
  <c r="L174"/>
  <c r="L175"/>
  <c r="L176"/>
  <c r="L177"/>
  <c r="L178"/>
  <c r="L179"/>
  <c r="L180"/>
  <c r="L181"/>
  <c r="L182"/>
  <c r="L183"/>
  <c r="L184"/>
  <c r="L185"/>
  <c r="L186"/>
  <c r="L187"/>
  <c r="L188"/>
  <c r="L189"/>
  <c r="L190"/>
  <c r="L191"/>
  <c r="L192"/>
  <c r="L193"/>
  <c r="L194"/>
  <c r="L195"/>
  <c r="L196"/>
  <c r="L197"/>
  <c r="L198"/>
  <c r="L199"/>
  <c r="L200"/>
  <c r="L201"/>
  <c r="L202"/>
  <c r="L203"/>
  <c r="L204"/>
  <c r="L205"/>
  <c r="L206"/>
  <c r="L207"/>
  <c r="L208"/>
  <c r="L209"/>
  <c r="L210"/>
  <c r="L211"/>
  <c r="L212"/>
  <c r="L213"/>
  <c r="L214"/>
  <c r="L215"/>
  <c r="L216"/>
  <c r="L217"/>
  <c r="L218"/>
  <c r="L219"/>
  <c r="L220"/>
  <c r="L221"/>
  <c r="L222"/>
  <c r="L223"/>
  <c r="L224"/>
  <c r="L225"/>
  <c r="L226"/>
  <c r="L227"/>
  <c r="L228"/>
  <c r="L229"/>
  <c r="L230"/>
  <c r="L231"/>
  <c r="L232"/>
  <c r="L233"/>
  <c r="L234"/>
  <c r="L235"/>
  <c r="L236"/>
  <c r="L237"/>
  <c r="L238"/>
  <c r="L239"/>
  <c r="L240"/>
  <c r="L241"/>
  <c r="L242"/>
  <c r="L243"/>
  <c r="L244"/>
  <c r="L245"/>
  <c r="L246"/>
  <c r="L247"/>
  <c r="L248"/>
  <c r="L249"/>
  <c r="L250"/>
  <c r="L251"/>
  <c r="L252"/>
  <c r="L253"/>
  <c r="L254"/>
  <c r="L255"/>
  <c r="L256"/>
  <c r="L257"/>
  <c r="L258"/>
  <c r="L259"/>
  <c r="L260"/>
  <c r="L261"/>
  <c r="L262"/>
  <c r="L263"/>
  <c r="L264"/>
  <c r="L265"/>
  <c r="L266"/>
  <c r="L267"/>
  <c r="L268"/>
  <c r="L269"/>
  <c r="L270"/>
  <c r="L271"/>
  <c r="L272"/>
  <c r="L273"/>
  <c r="L274"/>
  <c r="L275"/>
  <c r="L276"/>
  <c r="L277"/>
  <c r="L278"/>
  <c r="L279"/>
  <c r="L280"/>
  <c r="L281"/>
  <c r="L282"/>
  <c r="L283"/>
  <c r="L284"/>
  <c r="L285"/>
  <c r="L286"/>
  <c r="L287"/>
  <c r="L288"/>
  <c r="L289"/>
  <c r="L290"/>
  <c r="L291"/>
  <c r="L292"/>
  <c r="L293"/>
  <c r="L294"/>
  <c r="L295"/>
  <c r="L296"/>
  <c r="L297"/>
  <c r="L298"/>
  <c r="L299"/>
  <c r="L300"/>
  <c r="L301"/>
  <c r="L302"/>
  <c r="L303"/>
  <c r="L304"/>
  <c r="L305"/>
  <c r="L306"/>
  <c r="L307"/>
  <c r="M51"/>
  <c r="M52"/>
  <c r="M53"/>
  <c r="M54"/>
  <c r="M55"/>
  <c r="M56"/>
  <c r="M57"/>
  <c r="M58"/>
  <c r="M59"/>
  <c r="M60"/>
  <c r="M61"/>
  <c r="M62"/>
  <c r="M63"/>
  <c r="M64"/>
  <c r="M65"/>
  <c r="M66"/>
  <c r="M67"/>
  <c r="M68"/>
  <c r="M69"/>
  <c r="M70"/>
  <c r="M71"/>
  <c r="M72"/>
  <c r="M73"/>
  <c r="M74"/>
  <c r="M75"/>
  <c r="M76"/>
  <c r="M77"/>
  <c r="M78"/>
  <c r="M79"/>
  <c r="M80"/>
  <c r="M81"/>
  <c r="M82"/>
  <c r="M83"/>
  <c r="M84"/>
  <c r="M85"/>
  <c r="M86"/>
  <c r="M87"/>
  <c r="M88"/>
  <c r="M89"/>
  <c r="M90"/>
  <c r="M91"/>
  <c r="M92"/>
  <c r="M93"/>
  <c r="M94"/>
  <c r="M95"/>
  <c r="M96"/>
  <c r="M97"/>
  <c r="M98"/>
  <c r="M99"/>
  <c r="M100"/>
  <c r="M101"/>
  <c r="M102"/>
  <c r="M103"/>
  <c r="M104"/>
  <c r="M105"/>
  <c r="M106"/>
  <c r="M107"/>
  <c r="M108"/>
  <c r="M109"/>
  <c r="M110"/>
  <c r="M111"/>
  <c r="M112"/>
  <c r="M113"/>
  <c r="M114"/>
  <c r="M115"/>
  <c r="M116"/>
  <c r="M117"/>
  <c r="M118"/>
  <c r="M119"/>
  <c r="M120"/>
  <c r="M121"/>
  <c r="M122"/>
  <c r="M123"/>
  <c r="M124"/>
  <c r="M125"/>
  <c r="M126"/>
  <c r="M127"/>
  <c r="M128"/>
  <c r="M129"/>
  <c r="M130"/>
  <c r="M131"/>
  <c r="M132"/>
  <c r="M133"/>
  <c r="M134"/>
  <c r="M135"/>
  <c r="M136"/>
  <c r="M137"/>
  <c r="M138"/>
  <c r="M139"/>
  <c r="M140"/>
  <c r="M141"/>
  <c r="M142"/>
  <c r="M143"/>
  <c r="M144"/>
  <c r="M145"/>
  <c r="M146"/>
  <c r="M147"/>
  <c r="M148"/>
  <c r="M149"/>
  <c r="M150"/>
  <c r="M151"/>
  <c r="M152"/>
  <c r="M153"/>
  <c r="M154"/>
  <c r="M155"/>
  <c r="M156"/>
  <c r="M157"/>
  <c r="M158"/>
  <c r="M159"/>
  <c r="M160"/>
  <c r="M161"/>
  <c r="M162"/>
  <c r="M163"/>
  <c r="M164"/>
  <c r="M165"/>
  <c r="M166"/>
  <c r="M167"/>
  <c r="M168"/>
  <c r="M169"/>
  <c r="M170"/>
  <c r="M171"/>
  <c r="M172"/>
  <c r="M173"/>
  <c r="M174"/>
  <c r="M175"/>
  <c r="M176"/>
  <c r="M177"/>
  <c r="M178"/>
  <c r="M179"/>
  <c r="M180"/>
  <c r="M181"/>
  <c r="M182"/>
  <c r="M183"/>
  <c r="M184"/>
  <c r="M185"/>
  <c r="M186"/>
  <c r="M187"/>
  <c r="M188"/>
  <c r="M189"/>
  <c r="M190"/>
  <c r="M191"/>
  <c r="M192"/>
  <c r="M193"/>
  <c r="M194"/>
  <c r="M195"/>
  <c r="M196"/>
  <c r="M197"/>
  <c r="M198"/>
  <c r="M199"/>
  <c r="M200"/>
  <c r="M201"/>
  <c r="M202"/>
  <c r="M203"/>
  <c r="M204"/>
  <c r="M205"/>
  <c r="M206"/>
  <c r="M207"/>
  <c r="M208"/>
  <c r="M209"/>
  <c r="M210"/>
  <c r="M211"/>
  <c r="M212"/>
  <c r="M213"/>
  <c r="M214"/>
  <c r="M215"/>
  <c r="M216"/>
  <c r="M217"/>
  <c r="M218"/>
  <c r="M219"/>
  <c r="M220"/>
  <c r="M221"/>
  <c r="M222"/>
  <c r="M223"/>
  <c r="M224"/>
  <c r="M225"/>
  <c r="M226"/>
  <c r="M227"/>
  <c r="M228"/>
  <c r="M229"/>
  <c r="M230"/>
  <c r="M231"/>
  <c r="M232"/>
  <c r="M233"/>
  <c r="M234"/>
  <c r="M235"/>
  <c r="M236"/>
  <c r="M237"/>
  <c r="M238"/>
  <c r="M239"/>
  <c r="M240"/>
  <c r="M241"/>
  <c r="M242"/>
  <c r="M243"/>
  <c r="M244"/>
  <c r="M245"/>
  <c r="M246"/>
  <c r="M247"/>
  <c r="M248"/>
  <c r="M249"/>
  <c r="M250"/>
  <c r="M251"/>
  <c r="M252"/>
  <c r="M253"/>
  <c r="M254"/>
  <c r="M255"/>
  <c r="M256"/>
  <c r="M257"/>
  <c r="M258"/>
  <c r="M259"/>
  <c r="M260"/>
  <c r="M261"/>
  <c r="M262"/>
  <c r="M263"/>
  <c r="M264"/>
  <c r="M265"/>
  <c r="M266"/>
  <c r="M267"/>
  <c r="M268"/>
  <c r="M269"/>
  <c r="M270"/>
  <c r="M271"/>
  <c r="M272"/>
  <c r="M273"/>
  <c r="M274"/>
  <c r="M275"/>
  <c r="M276"/>
  <c r="M277"/>
  <c r="M278"/>
  <c r="M279"/>
  <c r="M280"/>
  <c r="M281"/>
  <c r="M282"/>
  <c r="M283"/>
  <c r="M284"/>
  <c r="M285"/>
  <c r="M286"/>
  <c r="M287"/>
  <c r="M288"/>
  <c r="M289"/>
  <c r="M290"/>
  <c r="M291"/>
  <c r="M292"/>
  <c r="M293"/>
  <c r="M294"/>
  <c r="M295"/>
  <c r="M296"/>
  <c r="M297"/>
  <c r="M298"/>
  <c r="M299"/>
  <c r="M300"/>
  <c r="M301"/>
  <c r="M302"/>
  <c r="M303"/>
  <c r="M304"/>
  <c r="M305"/>
  <c r="M306"/>
  <c r="M307"/>
  <c r="N51"/>
  <c r="N52"/>
  <c r="N53"/>
  <c r="N54"/>
  <c r="N55"/>
  <c r="N56"/>
  <c r="N57"/>
  <c r="N58"/>
  <c r="N59"/>
  <c r="N60"/>
  <c r="N61"/>
  <c r="N62"/>
  <c r="N63"/>
  <c r="N64"/>
  <c r="N65"/>
  <c r="N66"/>
  <c r="N67"/>
  <c r="N68"/>
  <c r="N69"/>
  <c r="N70"/>
  <c r="N71"/>
  <c r="N72"/>
  <c r="N73"/>
  <c r="N74"/>
  <c r="N75"/>
  <c r="N76"/>
  <c r="N77"/>
  <c r="N78"/>
  <c r="N79"/>
  <c r="N80"/>
  <c r="N81"/>
  <c r="N82"/>
  <c r="N83"/>
  <c r="N84"/>
  <c r="N85"/>
  <c r="N86"/>
  <c r="N87"/>
  <c r="N88"/>
  <c r="N89"/>
  <c r="N90"/>
  <c r="N91"/>
  <c r="N92"/>
  <c r="N93"/>
  <c r="N94"/>
  <c r="N95"/>
  <c r="N96"/>
  <c r="N97"/>
  <c r="N98"/>
  <c r="N99"/>
  <c r="N100"/>
  <c r="N101"/>
  <c r="N102"/>
  <c r="N103"/>
  <c r="N104"/>
  <c r="N105"/>
  <c r="N106"/>
  <c r="N107"/>
  <c r="N108"/>
  <c r="N109"/>
  <c r="N110"/>
  <c r="N111"/>
  <c r="N112"/>
  <c r="N113"/>
  <c r="N114"/>
  <c r="N115"/>
  <c r="N116"/>
  <c r="N117"/>
  <c r="N118"/>
  <c r="N119"/>
  <c r="N120"/>
  <c r="N121"/>
  <c r="N122"/>
  <c r="N123"/>
  <c r="N124"/>
  <c r="N125"/>
  <c r="N126"/>
  <c r="N127"/>
  <c r="N128"/>
  <c r="N129"/>
  <c r="N130"/>
  <c r="N131"/>
  <c r="N132"/>
  <c r="N133"/>
  <c r="N134"/>
  <c r="N135"/>
  <c r="N136"/>
  <c r="N137"/>
  <c r="N138"/>
  <c r="N139"/>
  <c r="N140"/>
  <c r="N141"/>
  <c r="N142"/>
  <c r="N143"/>
  <c r="N144"/>
  <c r="N145"/>
  <c r="N146"/>
  <c r="N147"/>
  <c r="N148"/>
  <c r="N149"/>
  <c r="N150"/>
  <c r="N151"/>
  <c r="N152"/>
  <c r="N153"/>
  <c r="N154"/>
  <c r="N155"/>
  <c r="N156"/>
  <c r="N157"/>
  <c r="N158"/>
  <c r="N159"/>
  <c r="N160"/>
  <c r="N161"/>
  <c r="N162"/>
  <c r="N163"/>
  <c r="N164"/>
  <c r="N165"/>
  <c r="N166"/>
  <c r="N167"/>
  <c r="N168"/>
  <c r="N169"/>
  <c r="N170"/>
  <c r="N171"/>
  <c r="N172"/>
  <c r="N173"/>
  <c r="N174"/>
  <c r="N175"/>
  <c r="N176"/>
  <c r="N177"/>
  <c r="N178"/>
  <c r="N179"/>
  <c r="N180"/>
  <c r="N181"/>
  <c r="N182"/>
  <c r="N183"/>
  <c r="N184"/>
  <c r="N185"/>
  <c r="N186"/>
  <c r="N187"/>
  <c r="N188"/>
  <c r="N189"/>
  <c r="N190"/>
  <c r="N191"/>
  <c r="N192"/>
  <c r="N193"/>
  <c r="N194"/>
  <c r="N195"/>
  <c r="N196"/>
  <c r="N197"/>
  <c r="N198"/>
  <c r="N199"/>
  <c r="N200"/>
  <c r="N201"/>
  <c r="N202"/>
  <c r="N203"/>
  <c r="N204"/>
  <c r="N205"/>
  <c r="N206"/>
  <c r="N207"/>
  <c r="N208"/>
  <c r="N209"/>
  <c r="N210"/>
  <c r="N211"/>
  <c r="N212"/>
  <c r="N213"/>
  <c r="N214"/>
  <c r="N215"/>
  <c r="N216"/>
  <c r="N217"/>
  <c r="N218"/>
  <c r="N219"/>
  <c r="N220"/>
  <c r="N221"/>
  <c r="N222"/>
  <c r="N223"/>
  <c r="N224"/>
  <c r="N225"/>
  <c r="N226"/>
  <c r="N227"/>
  <c r="N228"/>
  <c r="N229"/>
  <c r="N230"/>
  <c r="N231"/>
  <c r="N232"/>
  <c r="N233"/>
  <c r="N234"/>
  <c r="N235"/>
  <c r="N236"/>
  <c r="N237"/>
  <c r="N238"/>
  <c r="N239"/>
  <c r="N240"/>
  <c r="N241"/>
  <c r="N242"/>
  <c r="N243"/>
  <c r="N244"/>
  <c r="N245"/>
  <c r="N246"/>
  <c r="N247"/>
  <c r="N248"/>
  <c r="N249"/>
  <c r="N250"/>
  <c r="N251"/>
  <c r="N252"/>
  <c r="N253"/>
  <c r="N254"/>
  <c r="N255"/>
  <c r="N256"/>
  <c r="N257"/>
  <c r="N258"/>
  <c r="N259"/>
  <c r="N260"/>
  <c r="N261"/>
  <c r="N262"/>
  <c r="N263"/>
  <c r="N264"/>
  <c r="N265"/>
  <c r="N266"/>
  <c r="N267"/>
  <c r="N268"/>
  <c r="N269"/>
  <c r="N270"/>
  <c r="N271"/>
  <c r="N272"/>
  <c r="N273"/>
  <c r="N274"/>
  <c r="N275"/>
  <c r="N276"/>
  <c r="N277"/>
  <c r="N278"/>
  <c r="N279"/>
  <c r="N280"/>
  <c r="N281"/>
  <c r="N282"/>
  <c r="N283"/>
  <c r="N284"/>
  <c r="N285"/>
  <c r="N286"/>
  <c r="N287"/>
  <c r="N288"/>
  <c r="N289"/>
  <c r="N290"/>
  <c r="N291"/>
  <c r="N292"/>
  <c r="N293"/>
  <c r="N294"/>
  <c r="N295"/>
  <c r="N296"/>
  <c r="N297"/>
  <c r="N298"/>
  <c r="N299"/>
  <c r="N300"/>
  <c r="N301"/>
  <c r="N302"/>
  <c r="N303"/>
  <c r="N304"/>
  <c r="N305"/>
  <c r="N306"/>
  <c r="N307"/>
  <c r="O51"/>
  <c r="O52"/>
  <c r="O53"/>
  <c r="O54"/>
  <c r="O55"/>
  <c r="O56"/>
  <c r="O57"/>
  <c r="O58"/>
  <c r="O59"/>
  <c r="O60"/>
  <c r="O61"/>
  <c r="O62"/>
  <c r="O63"/>
  <c r="O64"/>
  <c r="O65"/>
  <c r="O66"/>
  <c r="O67"/>
  <c r="O68"/>
  <c r="O69"/>
  <c r="O70"/>
  <c r="O71"/>
  <c r="O72"/>
  <c r="O73"/>
  <c r="O74"/>
  <c r="O75"/>
  <c r="O76"/>
  <c r="O77"/>
  <c r="O78"/>
  <c r="O79"/>
  <c r="O80"/>
  <c r="O81"/>
  <c r="O82"/>
  <c r="O83"/>
  <c r="O84"/>
  <c r="O85"/>
  <c r="O86"/>
  <c r="O87"/>
  <c r="O88"/>
  <c r="O89"/>
  <c r="O90"/>
  <c r="O91"/>
  <c r="O92"/>
  <c r="O93"/>
  <c r="O94"/>
  <c r="O95"/>
  <c r="O96"/>
  <c r="O97"/>
  <c r="O98"/>
  <c r="O99"/>
  <c r="O100"/>
  <c r="O101"/>
  <c r="O102"/>
  <c r="O103"/>
  <c r="O104"/>
  <c r="O105"/>
  <c r="O106"/>
  <c r="O107"/>
  <c r="O108"/>
  <c r="O109"/>
  <c r="O110"/>
  <c r="O111"/>
  <c r="O112"/>
  <c r="O113"/>
  <c r="O114"/>
  <c r="O115"/>
  <c r="O116"/>
  <c r="O117"/>
  <c r="O118"/>
  <c r="O119"/>
  <c r="O120"/>
  <c r="O121"/>
  <c r="O122"/>
  <c r="O123"/>
  <c r="O124"/>
  <c r="O125"/>
  <c r="O126"/>
  <c r="O127"/>
  <c r="O128"/>
  <c r="O129"/>
  <c r="O130"/>
  <c r="O131"/>
  <c r="O132"/>
  <c r="O133"/>
  <c r="O134"/>
  <c r="O135"/>
  <c r="O136"/>
  <c r="O137"/>
  <c r="O138"/>
  <c r="O139"/>
  <c r="O140"/>
  <c r="O141"/>
  <c r="O142"/>
  <c r="O143"/>
  <c r="O144"/>
  <c r="O145"/>
  <c r="O146"/>
  <c r="O147"/>
  <c r="O148"/>
  <c r="O149"/>
  <c r="O150"/>
  <c r="O151"/>
  <c r="O152"/>
  <c r="O153"/>
  <c r="O154"/>
  <c r="O155"/>
  <c r="O156"/>
  <c r="O157"/>
  <c r="O158"/>
  <c r="O159"/>
  <c r="O160"/>
  <c r="O161"/>
  <c r="O162"/>
  <c r="O163"/>
  <c r="O164"/>
  <c r="O165"/>
  <c r="O166"/>
  <c r="O167"/>
  <c r="O168"/>
  <c r="O169"/>
  <c r="O170"/>
  <c r="O171"/>
  <c r="O172"/>
  <c r="O173"/>
  <c r="O174"/>
  <c r="O175"/>
  <c r="O176"/>
  <c r="O177"/>
  <c r="O178"/>
  <c r="O179"/>
  <c r="O180"/>
  <c r="O181"/>
  <c r="O182"/>
  <c r="O183"/>
  <c r="O184"/>
  <c r="O185"/>
  <c r="O186"/>
  <c r="O187"/>
  <c r="O188"/>
  <c r="O189"/>
  <c r="O190"/>
  <c r="O191"/>
  <c r="O192"/>
  <c r="O193"/>
  <c r="O194"/>
  <c r="O195"/>
  <c r="O196"/>
  <c r="O197"/>
  <c r="O198"/>
  <c r="O199"/>
  <c r="O200"/>
  <c r="O201"/>
  <c r="O202"/>
  <c r="O203"/>
  <c r="O204"/>
  <c r="O205"/>
  <c r="O206"/>
  <c r="O207"/>
  <c r="O208"/>
  <c r="O209"/>
  <c r="O210"/>
  <c r="O211"/>
  <c r="O212"/>
  <c r="O213"/>
  <c r="O214"/>
  <c r="O215"/>
  <c r="O216"/>
  <c r="O217"/>
  <c r="O218"/>
  <c r="O219"/>
  <c r="O220"/>
  <c r="O221"/>
  <c r="O222"/>
  <c r="O223"/>
  <c r="O224"/>
  <c r="O225"/>
  <c r="O226"/>
  <c r="O227"/>
  <c r="O228"/>
  <c r="O229"/>
  <c r="O230"/>
  <c r="O231"/>
  <c r="O232"/>
  <c r="O233"/>
  <c r="O234"/>
  <c r="O235"/>
  <c r="O236"/>
  <c r="O237"/>
  <c r="O238"/>
  <c r="O239"/>
  <c r="O240"/>
  <c r="O241"/>
  <c r="O242"/>
  <c r="O243"/>
  <c r="O244"/>
  <c r="O245"/>
  <c r="O246"/>
  <c r="O247"/>
  <c r="O248"/>
  <c r="O249"/>
  <c r="O250"/>
  <c r="O251"/>
  <c r="O252"/>
  <c r="O253"/>
  <c r="O254"/>
  <c r="O255"/>
  <c r="O256"/>
  <c r="O257"/>
  <c r="O258"/>
  <c r="O259"/>
  <c r="O260"/>
  <c r="O261"/>
  <c r="O262"/>
  <c r="O263"/>
  <c r="O264"/>
  <c r="O265"/>
  <c r="O266"/>
  <c r="O267"/>
  <c r="O268"/>
  <c r="O269"/>
  <c r="O270"/>
  <c r="O271"/>
  <c r="O272"/>
  <c r="O273"/>
  <c r="O274"/>
  <c r="O275"/>
  <c r="O276"/>
  <c r="O277"/>
  <c r="O278"/>
  <c r="O279"/>
  <c r="O280"/>
  <c r="O281"/>
  <c r="O282"/>
  <c r="O283"/>
  <c r="O284"/>
  <c r="O285"/>
  <c r="O286"/>
  <c r="O287"/>
  <c r="O288"/>
  <c r="O289"/>
  <c r="O290"/>
  <c r="O291"/>
  <c r="O292"/>
  <c r="O293"/>
  <c r="O294"/>
  <c r="O295"/>
  <c r="O296"/>
  <c r="O297"/>
  <c r="O298"/>
  <c r="O299"/>
  <c r="O300"/>
  <c r="O301"/>
  <c r="O302"/>
  <c r="O303"/>
  <c r="O304"/>
  <c r="O305"/>
  <c r="O306"/>
  <c r="O307"/>
  <c r="P51"/>
  <c r="P52"/>
  <c r="P53"/>
  <c r="P54"/>
  <c r="P55"/>
  <c r="P56"/>
  <c r="P57"/>
  <c r="P58"/>
  <c r="P59"/>
  <c r="P60"/>
  <c r="P61"/>
  <c r="P62"/>
  <c r="P63"/>
  <c r="P64"/>
  <c r="P65"/>
  <c r="P66"/>
  <c r="P67"/>
  <c r="P68"/>
  <c r="P69"/>
  <c r="P70"/>
  <c r="P71"/>
  <c r="P72"/>
  <c r="P73"/>
  <c r="P74"/>
  <c r="P75"/>
  <c r="P76"/>
  <c r="P77"/>
  <c r="P78"/>
  <c r="P79"/>
  <c r="P80"/>
  <c r="P81"/>
  <c r="P82"/>
  <c r="P83"/>
  <c r="P84"/>
  <c r="P85"/>
  <c r="P86"/>
  <c r="P87"/>
  <c r="P88"/>
  <c r="P89"/>
  <c r="P90"/>
  <c r="P91"/>
  <c r="P92"/>
  <c r="P93"/>
  <c r="P94"/>
  <c r="P95"/>
  <c r="P96"/>
  <c r="P97"/>
  <c r="P98"/>
  <c r="P99"/>
  <c r="P100"/>
  <c r="P101"/>
  <c r="P102"/>
  <c r="P103"/>
  <c r="P104"/>
  <c r="P105"/>
  <c r="P106"/>
  <c r="P107"/>
  <c r="P108"/>
  <c r="P109"/>
  <c r="P110"/>
  <c r="P111"/>
  <c r="P112"/>
  <c r="P113"/>
  <c r="P114"/>
  <c r="P115"/>
  <c r="P116"/>
  <c r="P117"/>
  <c r="P118"/>
  <c r="P119"/>
  <c r="P120"/>
  <c r="P121"/>
  <c r="P122"/>
  <c r="P123"/>
  <c r="P124"/>
  <c r="P125"/>
  <c r="P126"/>
  <c r="P127"/>
  <c r="P128"/>
  <c r="P129"/>
  <c r="P130"/>
  <c r="P131"/>
  <c r="P132"/>
  <c r="P133"/>
  <c r="P134"/>
  <c r="P135"/>
  <c r="P136"/>
  <c r="P137"/>
  <c r="P138"/>
  <c r="P139"/>
  <c r="P140"/>
  <c r="P141"/>
  <c r="P142"/>
  <c r="P143"/>
  <c r="P144"/>
  <c r="P145"/>
  <c r="P146"/>
  <c r="P147"/>
  <c r="P148"/>
  <c r="P149"/>
  <c r="P150"/>
  <c r="P151"/>
  <c r="P152"/>
  <c r="P153"/>
  <c r="P154"/>
  <c r="P155"/>
  <c r="P156"/>
  <c r="P157"/>
  <c r="P158"/>
  <c r="P159"/>
  <c r="P160"/>
  <c r="P161"/>
  <c r="P162"/>
  <c r="P163"/>
  <c r="P164"/>
  <c r="P165"/>
  <c r="P166"/>
  <c r="P167"/>
  <c r="P168"/>
  <c r="P169"/>
  <c r="P170"/>
  <c r="P171"/>
  <c r="P172"/>
  <c r="P173"/>
  <c r="P174"/>
  <c r="P175"/>
  <c r="P176"/>
  <c r="P177"/>
  <c r="P178"/>
  <c r="P179"/>
  <c r="P180"/>
  <c r="P181"/>
  <c r="P182"/>
  <c r="P183"/>
  <c r="P184"/>
  <c r="P185"/>
  <c r="P186"/>
  <c r="P187"/>
  <c r="P188"/>
  <c r="P189"/>
  <c r="P190"/>
  <c r="P191"/>
  <c r="P192"/>
  <c r="P193"/>
  <c r="P194"/>
  <c r="P195"/>
  <c r="P196"/>
  <c r="P197"/>
  <c r="P198"/>
  <c r="P199"/>
  <c r="P200"/>
  <c r="P201"/>
  <c r="P202"/>
  <c r="P203"/>
  <c r="P204"/>
  <c r="P205"/>
  <c r="P206"/>
  <c r="P207"/>
  <c r="P208"/>
  <c r="P209"/>
  <c r="P210"/>
  <c r="P211"/>
  <c r="P212"/>
  <c r="P213"/>
  <c r="P214"/>
  <c r="P215"/>
  <c r="P216"/>
  <c r="P217"/>
  <c r="P218"/>
  <c r="P219"/>
  <c r="P220"/>
  <c r="P221"/>
  <c r="P222"/>
  <c r="P223"/>
  <c r="P224"/>
  <c r="P225"/>
  <c r="P226"/>
  <c r="P227"/>
  <c r="P228"/>
  <c r="P229"/>
  <c r="P230"/>
  <c r="P231"/>
  <c r="P232"/>
  <c r="P233"/>
  <c r="P234"/>
  <c r="P235"/>
  <c r="P236"/>
  <c r="P237"/>
  <c r="P238"/>
  <c r="P239"/>
  <c r="P240"/>
  <c r="P241"/>
  <c r="P242"/>
  <c r="P243"/>
  <c r="P244"/>
  <c r="P245"/>
  <c r="P246"/>
  <c r="P247"/>
  <c r="P248"/>
  <c r="P249"/>
  <c r="P250"/>
  <c r="P251"/>
  <c r="P252"/>
  <c r="P253"/>
  <c r="P254"/>
  <c r="P255"/>
  <c r="P256"/>
  <c r="P257"/>
  <c r="P258"/>
  <c r="P259"/>
  <c r="P260"/>
  <c r="P261"/>
  <c r="P262"/>
  <c r="P263"/>
  <c r="P264"/>
  <c r="P265"/>
  <c r="P266"/>
  <c r="P267"/>
  <c r="P268"/>
  <c r="P269"/>
  <c r="P270"/>
  <c r="P271"/>
  <c r="P272"/>
  <c r="P273"/>
  <c r="P274"/>
  <c r="P275"/>
  <c r="P276"/>
  <c r="P277"/>
  <c r="P278"/>
  <c r="P279"/>
  <c r="P280"/>
  <c r="P281"/>
  <c r="P282"/>
  <c r="P283"/>
  <c r="P284"/>
  <c r="P285"/>
  <c r="P286"/>
  <c r="P287"/>
  <c r="P288"/>
  <c r="P289"/>
  <c r="P290"/>
  <c r="P291"/>
  <c r="P292"/>
  <c r="P293"/>
  <c r="P294"/>
  <c r="P295"/>
  <c r="P296"/>
  <c r="P297"/>
  <c r="P298"/>
  <c r="P299"/>
  <c r="P300"/>
  <c r="P301"/>
  <c r="P302"/>
  <c r="P303"/>
  <c r="P304"/>
  <c r="P305"/>
  <c r="P306"/>
  <c r="P307"/>
  <c r="Q51"/>
  <c r="Q52"/>
  <c r="Q53"/>
  <c r="Q54"/>
  <c r="Q55"/>
  <c r="Q56"/>
  <c r="Q57"/>
  <c r="Q58"/>
  <c r="Q59"/>
  <c r="Q60"/>
  <c r="Q61"/>
  <c r="Q62"/>
  <c r="Q63"/>
  <c r="Q64"/>
  <c r="Q65"/>
  <c r="Q66"/>
  <c r="Q67"/>
  <c r="Q68"/>
  <c r="Q69"/>
  <c r="Q70"/>
  <c r="Q71"/>
  <c r="Q72"/>
  <c r="Q73"/>
  <c r="Q74"/>
  <c r="Q75"/>
  <c r="Q76"/>
  <c r="Q77"/>
  <c r="Q78"/>
  <c r="Q79"/>
  <c r="Q80"/>
  <c r="Q81"/>
  <c r="Q82"/>
  <c r="Q83"/>
  <c r="Q84"/>
  <c r="Q85"/>
  <c r="Q86"/>
  <c r="Q87"/>
  <c r="Q88"/>
  <c r="Q89"/>
  <c r="Q90"/>
  <c r="Q91"/>
  <c r="Q92"/>
  <c r="Q93"/>
  <c r="Q94"/>
  <c r="Q95"/>
  <c r="Q96"/>
  <c r="Q97"/>
  <c r="Q98"/>
  <c r="Q99"/>
  <c r="Q100"/>
  <c r="Q101"/>
  <c r="Q102"/>
  <c r="Q103"/>
  <c r="Q104"/>
  <c r="Q105"/>
  <c r="Q106"/>
  <c r="Q107"/>
  <c r="Q108"/>
  <c r="Q109"/>
  <c r="Q110"/>
  <c r="Q111"/>
  <c r="Q112"/>
  <c r="Q113"/>
  <c r="Q114"/>
  <c r="Q115"/>
  <c r="Q116"/>
  <c r="Q117"/>
  <c r="Q118"/>
  <c r="Q119"/>
  <c r="Q120"/>
  <c r="Q121"/>
  <c r="Q122"/>
  <c r="Q123"/>
  <c r="Q124"/>
  <c r="Q125"/>
  <c r="Q126"/>
  <c r="Q127"/>
  <c r="Q128"/>
  <c r="Q129"/>
  <c r="Q130"/>
  <c r="Q131"/>
  <c r="Q132"/>
  <c r="Q133"/>
  <c r="Q134"/>
  <c r="Q135"/>
  <c r="Q136"/>
  <c r="Q137"/>
  <c r="Q138"/>
  <c r="Q139"/>
  <c r="Q140"/>
  <c r="Q141"/>
  <c r="Q142"/>
  <c r="Q143"/>
  <c r="Q144"/>
  <c r="Q145"/>
  <c r="Q146"/>
  <c r="Q147"/>
  <c r="Q148"/>
  <c r="Q149"/>
  <c r="Q150"/>
  <c r="Q151"/>
  <c r="Q152"/>
  <c r="Q153"/>
  <c r="Q154"/>
  <c r="Q155"/>
  <c r="Q156"/>
  <c r="Q157"/>
  <c r="Q158"/>
  <c r="Q159"/>
  <c r="Q160"/>
  <c r="Q161"/>
  <c r="Q162"/>
  <c r="Q163"/>
  <c r="Q164"/>
  <c r="Q165"/>
  <c r="Q166"/>
  <c r="Q167"/>
  <c r="Q168"/>
  <c r="Q169"/>
  <c r="Q170"/>
  <c r="Q171"/>
  <c r="Q172"/>
  <c r="Q173"/>
  <c r="Q174"/>
  <c r="Q175"/>
  <c r="Q176"/>
  <c r="Q177"/>
  <c r="Q178"/>
  <c r="Q179"/>
  <c r="Q180"/>
  <c r="Q181"/>
  <c r="Q182"/>
  <c r="Q183"/>
  <c r="Q184"/>
  <c r="Q185"/>
  <c r="Q186"/>
  <c r="Q187"/>
  <c r="Q188"/>
  <c r="Q189"/>
  <c r="Q190"/>
  <c r="Q191"/>
  <c r="Q192"/>
  <c r="Q193"/>
  <c r="Q194"/>
  <c r="Q195"/>
  <c r="Q196"/>
  <c r="Q197"/>
  <c r="Q198"/>
  <c r="Q199"/>
  <c r="Q200"/>
  <c r="Q201"/>
  <c r="Q202"/>
  <c r="Q203"/>
  <c r="Q204"/>
  <c r="Q205"/>
  <c r="Q206"/>
  <c r="Q207"/>
  <c r="Q208"/>
  <c r="Q209"/>
  <c r="Q210"/>
  <c r="Q211"/>
  <c r="Q212"/>
  <c r="Q213"/>
  <c r="Q214"/>
  <c r="Q215"/>
  <c r="Q216"/>
  <c r="Q217"/>
  <c r="Q218"/>
  <c r="Q219"/>
  <c r="Q220"/>
  <c r="Q221"/>
  <c r="Q222"/>
  <c r="Q223"/>
  <c r="Q224"/>
  <c r="Q225"/>
  <c r="Q226"/>
  <c r="Q227"/>
  <c r="Q228"/>
  <c r="Q229"/>
  <c r="Q230"/>
  <c r="Q231"/>
  <c r="Q232"/>
  <c r="Q233"/>
  <c r="Q234"/>
  <c r="Q235"/>
  <c r="Q236"/>
  <c r="Q237"/>
  <c r="Q238"/>
  <c r="Q239"/>
  <c r="Q240"/>
  <c r="Q241"/>
  <c r="Q242"/>
  <c r="Q243"/>
  <c r="Q244"/>
  <c r="Q245"/>
  <c r="Q246"/>
  <c r="Q247"/>
  <c r="Q248"/>
  <c r="Q249"/>
  <c r="Q250"/>
  <c r="Q251"/>
  <c r="Q252"/>
  <c r="Q253"/>
  <c r="Q254"/>
  <c r="Q255"/>
  <c r="Q256"/>
  <c r="Q257"/>
  <c r="Q258"/>
  <c r="Q259"/>
  <c r="Q260"/>
  <c r="Q261"/>
  <c r="Q262"/>
  <c r="Q263"/>
  <c r="Q264"/>
  <c r="Q265"/>
  <c r="Q266"/>
  <c r="Q267"/>
  <c r="Q268"/>
  <c r="Q269"/>
  <c r="Q270"/>
  <c r="Q271"/>
  <c r="Q272"/>
  <c r="Q273"/>
  <c r="Q274"/>
  <c r="Q275"/>
  <c r="Q276"/>
  <c r="Q277"/>
  <c r="Q278"/>
  <c r="Q279"/>
  <c r="Q280"/>
  <c r="Q281"/>
  <c r="Q282"/>
  <c r="Q283"/>
  <c r="Q284"/>
  <c r="Q285"/>
  <c r="Q286"/>
  <c r="Q287"/>
  <c r="Q288"/>
  <c r="Q289"/>
  <c r="Q290"/>
  <c r="Q291"/>
  <c r="Q292"/>
  <c r="Q293"/>
  <c r="Q294"/>
  <c r="Q295"/>
  <c r="Q296"/>
  <c r="Q297"/>
  <c r="Q298"/>
  <c r="Q299"/>
  <c r="Q300"/>
  <c r="Q301"/>
  <c r="Q302"/>
  <c r="Q303"/>
  <c r="Q304"/>
  <c r="Q305"/>
  <c r="Q306"/>
  <c r="Q307"/>
  <c r="R51"/>
  <c r="R52"/>
  <c r="R53"/>
  <c r="R54"/>
  <c r="R55"/>
  <c r="R56"/>
  <c r="R57"/>
  <c r="R58"/>
  <c r="R59"/>
  <c r="R60"/>
  <c r="R61"/>
  <c r="R62"/>
  <c r="R63"/>
  <c r="R64"/>
  <c r="R65"/>
  <c r="R66"/>
  <c r="R67"/>
  <c r="R68"/>
  <c r="R69"/>
  <c r="R70"/>
  <c r="R71"/>
  <c r="R72"/>
  <c r="R73"/>
  <c r="R74"/>
  <c r="R75"/>
  <c r="R76"/>
  <c r="R77"/>
  <c r="R78"/>
  <c r="R79"/>
  <c r="R80"/>
  <c r="R81"/>
  <c r="R82"/>
  <c r="R83"/>
  <c r="R84"/>
  <c r="R85"/>
  <c r="R86"/>
  <c r="R87"/>
  <c r="R88"/>
  <c r="R89"/>
  <c r="R90"/>
  <c r="R91"/>
  <c r="R92"/>
  <c r="R93"/>
  <c r="R94"/>
  <c r="R95"/>
  <c r="R96"/>
  <c r="R97"/>
  <c r="R98"/>
  <c r="R99"/>
  <c r="R100"/>
  <c r="R101"/>
  <c r="R102"/>
  <c r="R103"/>
  <c r="R104"/>
  <c r="R105"/>
  <c r="R106"/>
  <c r="R107"/>
  <c r="R108"/>
  <c r="R109"/>
  <c r="R110"/>
  <c r="R111"/>
  <c r="R112"/>
  <c r="R113"/>
  <c r="R114"/>
  <c r="R115"/>
  <c r="R116"/>
  <c r="R117"/>
  <c r="R118"/>
  <c r="R119"/>
  <c r="R120"/>
  <c r="R121"/>
  <c r="R122"/>
  <c r="R123"/>
  <c r="R124"/>
  <c r="R125"/>
  <c r="R126"/>
  <c r="R127"/>
  <c r="R128"/>
  <c r="R129"/>
  <c r="R130"/>
  <c r="R131"/>
  <c r="R132"/>
  <c r="R133"/>
  <c r="R134"/>
  <c r="R135"/>
  <c r="R136"/>
  <c r="R137"/>
  <c r="R138"/>
  <c r="R139"/>
  <c r="R140"/>
  <c r="R141"/>
  <c r="R142"/>
  <c r="R143"/>
  <c r="R144"/>
  <c r="R145"/>
  <c r="R146"/>
  <c r="R147"/>
  <c r="R148"/>
  <c r="R149"/>
  <c r="R150"/>
  <c r="R151"/>
  <c r="R152"/>
  <c r="R153"/>
  <c r="R154"/>
  <c r="R155"/>
  <c r="R156"/>
  <c r="R157"/>
  <c r="R158"/>
  <c r="R159"/>
  <c r="R160"/>
  <c r="R161"/>
  <c r="R162"/>
  <c r="R163"/>
  <c r="R164"/>
  <c r="R165"/>
  <c r="R166"/>
  <c r="R167"/>
  <c r="R168"/>
  <c r="R169"/>
  <c r="R170"/>
  <c r="R171"/>
  <c r="R172"/>
  <c r="R173"/>
  <c r="R174"/>
  <c r="R175"/>
  <c r="R176"/>
  <c r="R177"/>
  <c r="R178"/>
  <c r="R179"/>
  <c r="R180"/>
  <c r="R181"/>
  <c r="R182"/>
  <c r="R183"/>
  <c r="R184"/>
  <c r="R185"/>
  <c r="R186"/>
  <c r="R187"/>
  <c r="R188"/>
  <c r="R189"/>
  <c r="R190"/>
  <c r="R191"/>
  <c r="R192"/>
  <c r="R193"/>
  <c r="R194"/>
  <c r="R195"/>
  <c r="R196"/>
  <c r="R197"/>
  <c r="R198"/>
  <c r="R199"/>
  <c r="R200"/>
  <c r="R201"/>
  <c r="R202"/>
  <c r="R203"/>
  <c r="R204"/>
  <c r="R205"/>
  <c r="R206"/>
  <c r="R207"/>
  <c r="R208"/>
  <c r="R209"/>
  <c r="R210"/>
  <c r="R211"/>
  <c r="R212"/>
  <c r="R213"/>
  <c r="R214"/>
  <c r="R215"/>
  <c r="R216"/>
  <c r="R217"/>
  <c r="R218"/>
  <c r="R219"/>
  <c r="R220"/>
  <c r="R221"/>
  <c r="R222"/>
  <c r="R223"/>
  <c r="R224"/>
  <c r="R225"/>
  <c r="R226"/>
  <c r="R227"/>
  <c r="R228"/>
  <c r="R229"/>
  <c r="R230"/>
  <c r="R231"/>
  <c r="R232"/>
  <c r="R233"/>
  <c r="R234"/>
  <c r="R235"/>
  <c r="R236"/>
  <c r="R237"/>
  <c r="R238"/>
  <c r="R239"/>
  <c r="R240"/>
  <c r="R241"/>
  <c r="R242"/>
  <c r="R243"/>
  <c r="R244"/>
  <c r="R245"/>
  <c r="R246"/>
  <c r="R247"/>
  <c r="R248"/>
  <c r="R249"/>
  <c r="R250"/>
  <c r="R251"/>
  <c r="R252"/>
  <c r="R253"/>
  <c r="R254"/>
  <c r="R255"/>
  <c r="R256"/>
  <c r="R257"/>
  <c r="R258"/>
  <c r="R259"/>
  <c r="R260"/>
  <c r="R261"/>
  <c r="R262"/>
  <c r="R263"/>
  <c r="R264"/>
  <c r="R265"/>
  <c r="R266"/>
  <c r="R267"/>
  <c r="R268"/>
  <c r="R269"/>
  <c r="R270"/>
  <c r="R271"/>
  <c r="R272"/>
  <c r="R273"/>
  <c r="R274"/>
  <c r="R275"/>
  <c r="R276"/>
  <c r="R277"/>
  <c r="R278"/>
  <c r="R279"/>
  <c r="R280"/>
  <c r="R281"/>
  <c r="R282"/>
  <c r="R283"/>
  <c r="R284"/>
  <c r="R285"/>
  <c r="R286"/>
  <c r="R287"/>
  <c r="R288"/>
  <c r="R289"/>
  <c r="R290"/>
  <c r="R291"/>
  <c r="R292"/>
  <c r="R293"/>
  <c r="R294"/>
  <c r="R295"/>
  <c r="R296"/>
  <c r="R297"/>
  <c r="R298"/>
  <c r="R299"/>
  <c r="R300"/>
  <c r="R301"/>
  <c r="R302"/>
  <c r="R303"/>
  <c r="R304"/>
  <c r="R305"/>
  <c r="R306"/>
  <c r="R307"/>
  <c r="AD51" i="1"/>
  <c r="AD52"/>
  <c r="AD53"/>
  <c r="AD54"/>
  <c r="AD55"/>
  <c r="AD56"/>
  <c r="AD57"/>
  <c r="AD58"/>
  <c r="AD59"/>
  <c r="AD60"/>
  <c r="AD61"/>
  <c r="AD62"/>
  <c r="AD63"/>
  <c r="AD64"/>
  <c r="AD65"/>
  <c r="AD66"/>
  <c r="AD67"/>
  <c r="AD68"/>
  <c r="AD69"/>
  <c r="AD70"/>
  <c r="AD71"/>
  <c r="AD72"/>
  <c r="AD73"/>
  <c r="AD74"/>
  <c r="AD75"/>
  <c r="AD76"/>
  <c r="AD77"/>
  <c r="AD78"/>
  <c r="AD79"/>
  <c r="AD80"/>
  <c r="AD81"/>
  <c r="AD82"/>
  <c r="AD83"/>
  <c r="AD84"/>
  <c r="AD85"/>
  <c r="AD86"/>
  <c r="AD87"/>
  <c r="AD88"/>
  <c r="AD89"/>
  <c r="AD90"/>
  <c r="AD91"/>
  <c r="AD92"/>
  <c r="AD93"/>
  <c r="AD94"/>
  <c r="AD95"/>
  <c r="AD96"/>
  <c r="AD97"/>
  <c r="AD98"/>
  <c r="AD99"/>
  <c r="AD100"/>
  <c r="AD101"/>
  <c r="AD102"/>
  <c r="AD103"/>
  <c r="AD104"/>
  <c r="AD105"/>
  <c r="AD106"/>
  <c r="AD107"/>
  <c r="AD108"/>
  <c r="AD109"/>
  <c r="AD110"/>
  <c r="AD111"/>
  <c r="AD112"/>
  <c r="AD113"/>
  <c r="AD114"/>
  <c r="AD115"/>
  <c r="AD116"/>
  <c r="AD117"/>
  <c r="AD118"/>
  <c r="AD119"/>
  <c r="AD120"/>
  <c r="AD121"/>
  <c r="AD122"/>
  <c r="AD123"/>
  <c r="AD124"/>
  <c r="AD125"/>
  <c r="AD126"/>
  <c r="AD127"/>
  <c r="AD128"/>
  <c r="AD129"/>
  <c r="AD130"/>
  <c r="AD131"/>
  <c r="AD132"/>
  <c r="AD133"/>
  <c r="AD134"/>
  <c r="AD135"/>
  <c r="AD136"/>
  <c r="AD137"/>
  <c r="AD138"/>
  <c r="AD139"/>
  <c r="AD140"/>
  <c r="AD141"/>
  <c r="AD142"/>
  <c r="AD143"/>
  <c r="AD144"/>
  <c r="AD145"/>
  <c r="AD146"/>
  <c r="AD147"/>
  <c r="AD148"/>
  <c r="AD149"/>
  <c r="AD150"/>
  <c r="AD151"/>
  <c r="AD152"/>
  <c r="AD153"/>
  <c r="AD154"/>
  <c r="AD155"/>
  <c r="AD156"/>
  <c r="AD157"/>
  <c r="AD158"/>
  <c r="AD159"/>
  <c r="AD160"/>
  <c r="AD161"/>
  <c r="AD162"/>
  <c r="AD163"/>
  <c r="AD164"/>
  <c r="AD165"/>
  <c r="AD166"/>
  <c r="AD167"/>
  <c r="AD168"/>
  <c r="AD169"/>
  <c r="AD170"/>
  <c r="AD171"/>
  <c r="AD172"/>
  <c r="AD173"/>
  <c r="AD174"/>
  <c r="AD175"/>
  <c r="AD176"/>
  <c r="AD177"/>
  <c r="AD178"/>
  <c r="AD179"/>
  <c r="AD180"/>
  <c r="AD181"/>
  <c r="AD182"/>
  <c r="AD183"/>
  <c r="AD184"/>
  <c r="AD185"/>
  <c r="AD186"/>
  <c r="AD187"/>
  <c r="AD188"/>
  <c r="AD189"/>
  <c r="AD190"/>
  <c r="AD191"/>
  <c r="AD192"/>
  <c r="AD193"/>
  <c r="AD194"/>
  <c r="AD195"/>
  <c r="AD196"/>
  <c r="AD197"/>
  <c r="AD198"/>
  <c r="AD199"/>
  <c r="AD200"/>
  <c r="AD201"/>
  <c r="AD202"/>
  <c r="AD203"/>
  <c r="AD204"/>
  <c r="AD205"/>
  <c r="AD206"/>
  <c r="AD207"/>
  <c r="AD208"/>
  <c r="AD209"/>
  <c r="AD210"/>
  <c r="AD211"/>
  <c r="AD212"/>
  <c r="AD213"/>
  <c r="AD214"/>
  <c r="AD215"/>
  <c r="AD216"/>
  <c r="AD217"/>
  <c r="AD218"/>
  <c r="AD219"/>
  <c r="AD220"/>
  <c r="AD221"/>
  <c r="AD222"/>
  <c r="AD223"/>
  <c r="AD224"/>
  <c r="AD225"/>
  <c r="AD226"/>
  <c r="AD227"/>
  <c r="AD228"/>
  <c r="AD229"/>
  <c r="AD230"/>
  <c r="AD231"/>
  <c r="AD232"/>
  <c r="AD233"/>
  <c r="AD234"/>
  <c r="AD235"/>
  <c r="AD236"/>
  <c r="AD237"/>
  <c r="AD238"/>
  <c r="AD239"/>
  <c r="AD240"/>
  <c r="AD241"/>
  <c r="AD242"/>
  <c r="AD243"/>
  <c r="AD244"/>
  <c r="AD245"/>
  <c r="AD246"/>
  <c r="AD247"/>
  <c r="AD248"/>
  <c r="AD249"/>
  <c r="AD250"/>
  <c r="AD251"/>
  <c r="AD252"/>
  <c r="AD253"/>
  <c r="AD254"/>
  <c r="AD255"/>
  <c r="AD256"/>
  <c r="AD257"/>
  <c r="AD258"/>
  <c r="AD259"/>
  <c r="AD260"/>
  <c r="AD261"/>
  <c r="AD262"/>
  <c r="AD263"/>
  <c r="AD264"/>
  <c r="AD265"/>
  <c r="AD266"/>
  <c r="AD267"/>
  <c r="AD268"/>
  <c r="AD269"/>
  <c r="AD270"/>
  <c r="AD271"/>
  <c r="AD272"/>
  <c r="AD273"/>
  <c r="AD274"/>
  <c r="AD275"/>
  <c r="AD276"/>
  <c r="AD277"/>
  <c r="AD278"/>
  <c r="AD279"/>
  <c r="AD280"/>
  <c r="AD281"/>
  <c r="AD282"/>
  <c r="AD283"/>
  <c r="AD284"/>
  <c r="AD285"/>
  <c r="AD286"/>
  <c r="AD287"/>
  <c r="AD288"/>
  <c r="AD289"/>
  <c r="AD290"/>
  <c r="AD291"/>
  <c r="AD292"/>
  <c r="AD293"/>
  <c r="AD294"/>
  <c r="AD295"/>
  <c r="AD296"/>
  <c r="AD297"/>
  <c r="AD298"/>
  <c r="AD299"/>
  <c r="AD300"/>
  <c r="AD301"/>
  <c r="AD302"/>
  <c r="AD303"/>
  <c r="AD304"/>
  <c r="AD305"/>
  <c r="AD306"/>
  <c r="AD307"/>
  <c r="AE51"/>
  <c r="AE52"/>
  <c r="AE53"/>
  <c r="AE54"/>
  <c r="AE55"/>
  <c r="AE56"/>
  <c r="AE57"/>
  <c r="AE58"/>
  <c r="AE59"/>
  <c r="AE60"/>
  <c r="AE61"/>
  <c r="AE62"/>
  <c r="AE63"/>
  <c r="AE64"/>
  <c r="AE65"/>
  <c r="AE66"/>
  <c r="AE67"/>
  <c r="AE68"/>
  <c r="AE69"/>
  <c r="AE70"/>
  <c r="AE71"/>
  <c r="AE72"/>
  <c r="AE73"/>
  <c r="AE74"/>
  <c r="AE75"/>
  <c r="AE76"/>
  <c r="AE77"/>
  <c r="AE78"/>
  <c r="AE79"/>
  <c r="AE80"/>
  <c r="AE81"/>
  <c r="AE82"/>
  <c r="AE83"/>
  <c r="AE84"/>
  <c r="AE85"/>
  <c r="AE86"/>
  <c r="AE87"/>
  <c r="AE88"/>
  <c r="AE89"/>
  <c r="AE90"/>
  <c r="AE91"/>
  <c r="AE92"/>
  <c r="AE93"/>
  <c r="AE94"/>
  <c r="AE95"/>
  <c r="AE96"/>
  <c r="AE97"/>
  <c r="AE98"/>
  <c r="AE99"/>
  <c r="AE100"/>
  <c r="AE101"/>
  <c r="AE102"/>
  <c r="AE103"/>
  <c r="AE104"/>
  <c r="AE105"/>
  <c r="AE106"/>
  <c r="AE107"/>
  <c r="AE108"/>
  <c r="AE109"/>
  <c r="AE110"/>
  <c r="AE111"/>
  <c r="AE112"/>
  <c r="AE113"/>
  <c r="AE114"/>
  <c r="AE115"/>
  <c r="AE116"/>
  <c r="AE117"/>
  <c r="AE118"/>
  <c r="AE119"/>
  <c r="AE120"/>
  <c r="AE121"/>
  <c r="AE122"/>
  <c r="AE123"/>
  <c r="AE124"/>
  <c r="AE125"/>
  <c r="AE126"/>
  <c r="AE127"/>
  <c r="AE128"/>
  <c r="AE129"/>
  <c r="AE130"/>
  <c r="AE131"/>
  <c r="AE132"/>
  <c r="AE133"/>
  <c r="AE134"/>
  <c r="AE135"/>
  <c r="AE136"/>
  <c r="AE137"/>
  <c r="AE138"/>
  <c r="AE139"/>
  <c r="AE140"/>
  <c r="AE141"/>
  <c r="AE142"/>
  <c r="AE143"/>
  <c r="AE144"/>
  <c r="AE145"/>
  <c r="AE146"/>
  <c r="AE147"/>
  <c r="AE148"/>
  <c r="AE149"/>
  <c r="AE150"/>
  <c r="AE151"/>
  <c r="AE152"/>
  <c r="AE153"/>
  <c r="AE154"/>
  <c r="AE155"/>
  <c r="AE156"/>
  <c r="AE157"/>
  <c r="AE158"/>
  <c r="AE159"/>
  <c r="AE160"/>
  <c r="AE161"/>
  <c r="AE162"/>
  <c r="AE163"/>
  <c r="AE164"/>
  <c r="AE165"/>
  <c r="AE166"/>
  <c r="AE167"/>
  <c r="AE168"/>
  <c r="AE169"/>
  <c r="AE170"/>
  <c r="AE171"/>
  <c r="AE172"/>
  <c r="AE173"/>
  <c r="AE174"/>
  <c r="AE175"/>
  <c r="AE176"/>
  <c r="AE177"/>
  <c r="AE178"/>
  <c r="AE179"/>
  <c r="AE180"/>
  <c r="AE181"/>
  <c r="AE182"/>
  <c r="AE183"/>
  <c r="AE184"/>
  <c r="AE185"/>
  <c r="AE186"/>
  <c r="AE187"/>
  <c r="AE188"/>
  <c r="AE189"/>
  <c r="AE190"/>
  <c r="AE191"/>
  <c r="AE192"/>
  <c r="AE193"/>
  <c r="AE194"/>
  <c r="AE195"/>
  <c r="AE196"/>
  <c r="AE197"/>
  <c r="AE198"/>
  <c r="AE199"/>
  <c r="AE200"/>
  <c r="AE201"/>
  <c r="AE202"/>
  <c r="AE203"/>
  <c r="AE204"/>
  <c r="AE205"/>
  <c r="AE206"/>
  <c r="AE207"/>
  <c r="AE208"/>
  <c r="AE209"/>
  <c r="AE210"/>
  <c r="AE211"/>
  <c r="AE212"/>
  <c r="AE213"/>
  <c r="AE214"/>
  <c r="AE215"/>
  <c r="AE216"/>
  <c r="AE217"/>
  <c r="AE218"/>
  <c r="AE219"/>
  <c r="AE220"/>
  <c r="AE221"/>
  <c r="AE222"/>
  <c r="AE223"/>
  <c r="AE224"/>
  <c r="AE225"/>
  <c r="AE226"/>
  <c r="AE227"/>
  <c r="AE228"/>
  <c r="AE229"/>
  <c r="AE230"/>
  <c r="AE231"/>
  <c r="AE232"/>
  <c r="AE233"/>
  <c r="AE234"/>
  <c r="AE235"/>
  <c r="AE236"/>
  <c r="AE237"/>
  <c r="AE238"/>
  <c r="AE239"/>
  <c r="AE240"/>
  <c r="AE241"/>
  <c r="AE242"/>
  <c r="AE243"/>
  <c r="AE244"/>
  <c r="AE245"/>
  <c r="AE246"/>
  <c r="AE247"/>
  <c r="AE248"/>
  <c r="AE249"/>
  <c r="AE250"/>
  <c r="AE251"/>
  <c r="AE252"/>
  <c r="AE253"/>
  <c r="AE254"/>
  <c r="AE255"/>
  <c r="AE256"/>
  <c r="AE257"/>
  <c r="AE258"/>
  <c r="AE259"/>
  <c r="AE260"/>
  <c r="AE261"/>
  <c r="AE262"/>
  <c r="AE263"/>
  <c r="AE264"/>
  <c r="AE265"/>
  <c r="AE266"/>
  <c r="AE267"/>
  <c r="AE268"/>
  <c r="AE269"/>
  <c r="AE270"/>
  <c r="AE271"/>
  <c r="AE272"/>
  <c r="AE273"/>
  <c r="AE274"/>
  <c r="AE275"/>
  <c r="AE276"/>
  <c r="AE277"/>
  <c r="AE278"/>
  <c r="AE279"/>
  <c r="AE280"/>
  <c r="AE281"/>
  <c r="AE282"/>
  <c r="AE283"/>
  <c r="AE284"/>
  <c r="AE285"/>
  <c r="AE286"/>
  <c r="AE287"/>
  <c r="AE288"/>
  <c r="AE289"/>
  <c r="AE290"/>
  <c r="AE291"/>
  <c r="AE292"/>
  <c r="AE293"/>
  <c r="AE294"/>
  <c r="AE295"/>
  <c r="AE296"/>
  <c r="AE297"/>
  <c r="AE298"/>
  <c r="AE299"/>
  <c r="AE300"/>
  <c r="AE301"/>
  <c r="AE302"/>
  <c r="AE303"/>
  <c r="AE304"/>
  <c r="AE305"/>
  <c r="AE306"/>
  <c r="AE307"/>
  <c r="AF51"/>
  <c r="AF52"/>
  <c r="AF53"/>
  <c r="AF54"/>
  <c r="AF55"/>
  <c r="AF56"/>
  <c r="AF57"/>
  <c r="AF58"/>
  <c r="AF59"/>
  <c r="AF60"/>
  <c r="AF61"/>
  <c r="AF62"/>
  <c r="AF63"/>
  <c r="AF64"/>
  <c r="AF65"/>
  <c r="AF66"/>
  <c r="AF67"/>
  <c r="AF68"/>
  <c r="AF69"/>
  <c r="AF70"/>
  <c r="AF71"/>
  <c r="AF72"/>
  <c r="AF73"/>
  <c r="AF74"/>
  <c r="AF75"/>
  <c r="AF76"/>
  <c r="AF77"/>
  <c r="AF78"/>
  <c r="AF79"/>
  <c r="AF80"/>
  <c r="AF81"/>
  <c r="AF82"/>
  <c r="AF83"/>
  <c r="AF84"/>
  <c r="AF85"/>
  <c r="AF86"/>
  <c r="AF87"/>
  <c r="AF88"/>
  <c r="AF89"/>
  <c r="AF90"/>
  <c r="AF91"/>
  <c r="AF92"/>
  <c r="AF93"/>
  <c r="AF94"/>
  <c r="AF95"/>
  <c r="AF96"/>
  <c r="AF97"/>
  <c r="AF98"/>
  <c r="AF99"/>
  <c r="AF100"/>
  <c r="AF101"/>
  <c r="AF102"/>
  <c r="AF103"/>
  <c r="AF104"/>
  <c r="AF105"/>
  <c r="AF106"/>
  <c r="AF107"/>
  <c r="AF108"/>
  <c r="AF109"/>
  <c r="AF110"/>
  <c r="AF111"/>
  <c r="AF112"/>
  <c r="AF113"/>
  <c r="AF114"/>
  <c r="AF115"/>
  <c r="AF116"/>
  <c r="AF117"/>
  <c r="AF118"/>
  <c r="AF119"/>
  <c r="AF120"/>
  <c r="AF121"/>
  <c r="AF122"/>
  <c r="AF123"/>
  <c r="AF124"/>
  <c r="AF125"/>
  <c r="AF126"/>
  <c r="AF127"/>
  <c r="AF128"/>
  <c r="AF129"/>
  <c r="AF130"/>
  <c r="AF131"/>
  <c r="AF132"/>
  <c r="AF133"/>
  <c r="AF134"/>
  <c r="AF135"/>
  <c r="AF136"/>
  <c r="AF137"/>
  <c r="AF138"/>
  <c r="AF139"/>
  <c r="AF140"/>
  <c r="AF141"/>
  <c r="AF142"/>
  <c r="AF143"/>
  <c r="AF144"/>
  <c r="AF145"/>
  <c r="AF146"/>
  <c r="AF147"/>
  <c r="AF148"/>
  <c r="AF149"/>
  <c r="AF150"/>
  <c r="AF151"/>
  <c r="AF152"/>
  <c r="AF153"/>
  <c r="AF154"/>
  <c r="AF155"/>
  <c r="AF156"/>
  <c r="AF157"/>
  <c r="AF158"/>
  <c r="AF159"/>
  <c r="AF160"/>
  <c r="AF161"/>
  <c r="AF162"/>
  <c r="AF163"/>
  <c r="AF164"/>
  <c r="AF165"/>
  <c r="AF166"/>
  <c r="AF167"/>
  <c r="AF168"/>
  <c r="AF169"/>
  <c r="AF170"/>
  <c r="AF171"/>
  <c r="AF172"/>
  <c r="AF173"/>
  <c r="AF174"/>
  <c r="AF175"/>
  <c r="AF176"/>
  <c r="AF177"/>
  <c r="AF178"/>
  <c r="AF179"/>
  <c r="AF180"/>
  <c r="AF181"/>
  <c r="AF182"/>
  <c r="AF183"/>
  <c r="AF184"/>
  <c r="AF185"/>
  <c r="AF186"/>
  <c r="AF187"/>
  <c r="AF188"/>
  <c r="AF189"/>
  <c r="AF190"/>
  <c r="AF191"/>
  <c r="AF192"/>
  <c r="AF193"/>
  <c r="AF194"/>
  <c r="AF195"/>
  <c r="AF196"/>
  <c r="AF197"/>
  <c r="AF198"/>
  <c r="AF199"/>
  <c r="AF200"/>
  <c r="AF201"/>
  <c r="AF202"/>
  <c r="AF203"/>
  <c r="AF204"/>
  <c r="AF205"/>
  <c r="AF206"/>
  <c r="AF207"/>
  <c r="AF208"/>
  <c r="AF209"/>
  <c r="AF210"/>
  <c r="AF211"/>
  <c r="AF212"/>
  <c r="AF213"/>
  <c r="AF214"/>
  <c r="AF215"/>
  <c r="AF216"/>
  <c r="AF217"/>
  <c r="AF218"/>
  <c r="AF219"/>
  <c r="AF220"/>
  <c r="AF221"/>
  <c r="AF222"/>
  <c r="AF223"/>
  <c r="AF224"/>
  <c r="AF225"/>
  <c r="AF226"/>
  <c r="AF227"/>
  <c r="AF228"/>
  <c r="AF229"/>
  <c r="AF230"/>
  <c r="AF231"/>
  <c r="AF232"/>
  <c r="AF233"/>
  <c r="AF234"/>
  <c r="AF235"/>
  <c r="AF236"/>
  <c r="AF237"/>
  <c r="AF238"/>
  <c r="AF239"/>
  <c r="AF240"/>
  <c r="AF241"/>
  <c r="AF242"/>
  <c r="AF243"/>
  <c r="AF244"/>
  <c r="AF245"/>
  <c r="AF246"/>
  <c r="AF247"/>
  <c r="AF248"/>
  <c r="AF249"/>
  <c r="AF250"/>
  <c r="AF251"/>
  <c r="AF252"/>
  <c r="AF253"/>
  <c r="AF254"/>
  <c r="AF255"/>
  <c r="AF256"/>
  <c r="AF257"/>
  <c r="AF258"/>
  <c r="AF259"/>
  <c r="AF260"/>
  <c r="AF261"/>
  <c r="AF262"/>
  <c r="AF263"/>
  <c r="AF264"/>
  <c r="AF265"/>
  <c r="AF266"/>
  <c r="AF267"/>
  <c r="AF268"/>
  <c r="AF269"/>
  <c r="AF270"/>
  <c r="AF271"/>
  <c r="AF272"/>
  <c r="AF273"/>
  <c r="AF274"/>
  <c r="AF275"/>
  <c r="AF276"/>
  <c r="AF277"/>
  <c r="AF278"/>
  <c r="AF279"/>
  <c r="AF280"/>
  <c r="AF281"/>
  <c r="AF282"/>
  <c r="AF283"/>
  <c r="AF284"/>
  <c r="AF285"/>
  <c r="AF286"/>
  <c r="AF287"/>
  <c r="AF288"/>
  <c r="AF289"/>
  <c r="AF290"/>
  <c r="AF291"/>
  <c r="AF292"/>
  <c r="AF293"/>
  <c r="AF294"/>
  <c r="AF295"/>
  <c r="AF296"/>
  <c r="AF297"/>
  <c r="AF298"/>
  <c r="AF299"/>
  <c r="AF300"/>
  <c r="AF301"/>
  <c r="AF302"/>
  <c r="AF303"/>
  <c r="AF304"/>
  <c r="AF305"/>
  <c r="AF306"/>
  <c r="AF307"/>
  <c r="AG51"/>
  <c r="AG52"/>
  <c r="AG53"/>
  <c r="AG54"/>
  <c r="AG55"/>
  <c r="AG56"/>
  <c r="AG57"/>
  <c r="AG58"/>
  <c r="AG59"/>
  <c r="AG60"/>
  <c r="AG61"/>
  <c r="AG62"/>
  <c r="AG63"/>
  <c r="AG64"/>
  <c r="AG65"/>
  <c r="AG66"/>
  <c r="AG67"/>
  <c r="AG68"/>
  <c r="AG69"/>
  <c r="AG70"/>
  <c r="AG71"/>
  <c r="AG72"/>
  <c r="AG73"/>
  <c r="AG74"/>
  <c r="AG75"/>
  <c r="AG76"/>
  <c r="AG77"/>
  <c r="AG78"/>
  <c r="AG79"/>
  <c r="AG80"/>
  <c r="AG81"/>
  <c r="AG82"/>
  <c r="AG83"/>
  <c r="AG84"/>
  <c r="AG85"/>
  <c r="AG86"/>
  <c r="AG87"/>
  <c r="AG88"/>
  <c r="AG89"/>
  <c r="AG90"/>
  <c r="AG91"/>
  <c r="AG92"/>
  <c r="AG93"/>
  <c r="AG94"/>
  <c r="AG95"/>
  <c r="AG96"/>
  <c r="AG97"/>
  <c r="AG98"/>
  <c r="AG99"/>
  <c r="AG100"/>
  <c r="AG101"/>
  <c r="AG102"/>
  <c r="AG103"/>
  <c r="AG104"/>
  <c r="AG105"/>
  <c r="AG106"/>
  <c r="AG107"/>
  <c r="AG108"/>
  <c r="AG109"/>
  <c r="AG110"/>
  <c r="AG111"/>
  <c r="AG112"/>
  <c r="AG113"/>
  <c r="AG114"/>
  <c r="AG115"/>
  <c r="AG116"/>
  <c r="AG117"/>
  <c r="AG118"/>
  <c r="AG119"/>
  <c r="AG120"/>
  <c r="AG121"/>
  <c r="AG122"/>
  <c r="AG123"/>
  <c r="AG124"/>
  <c r="AG125"/>
  <c r="AG126"/>
  <c r="AG127"/>
  <c r="AG128"/>
  <c r="AG129"/>
  <c r="AG130"/>
  <c r="AG131"/>
  <c r="AG132"/>
  <c r="AG133"/>
  <c r="AG134"/>
  <c r="AG135"/>
  <c r="AG136"/>
  <c r="AG137"/>
  <c r="AG138"/>
  <c r="AG139"/>
  <c r="AG140"/>
  <c r="AG141"/>
  <c r="AG142"/>
  <c r="AG143"/>
  <c r="AG144"/>
  <c r="AG145"/>
  <c r="AG146"/>
  <c r="AG147"/>
  <c r="AG148"/>
  <c r="AG149"/>
  <c r="AG150"/>
  <c r="AG151"/>
  <c r="AG152"/>
  <c r="AG153"/>
  <c r="AG154"/>
  <c r="AG155"/>
  <c r="AG156"/>
  <c r="AG157"/>
  <c r="AG158"/>
  <c r="AG159"/>
  <c r="AG160"/>
  <c r="AG161"/>
  <c r="AG162"/>
  <c r="AG163"/>
  <c r="AG164"/>
  <c r="AG165"/>
  <c r="AG166"/>
  <c r="AG167"/>
  <c r="AG168"/>
  <c r="AG169"/>
  <c r="AG170"/>
  <c r="AG171"/>
  <c r="AG172"/>
  <c r="AG173"/>
  <c r="AG174"/>
  <c r="AG175"/>
  <c r="AG176"/>
  <c r="AG177"/>
  <c r="AG178"/>
  <c r="AG179"/>
  <c r="AG180"/>
  <c r="AG181"/>
  <c r="AG182"/>
  <c r="AG183"/>
  <c r="AG184"/>
  <c r="AG185"/>
  <c r="AG186"/>
  <c r="AG187"/>
  <c r="AG188"/>
  <c r="AG189"/>
  <c r="AG190"/>
  <c r="AG191"/>
  <c r="AG192"/>
  <c r="AG193"/>
  <c r="AG194"/>
  <c r="AG195"/>
  <c r="AG196"/>
  <c r="AG197"/>
  <c r="AG198"/>
  <c r="AG199"/>
  <c r="AG200"/>
  <c r="AG201"/>
  <c r="AG202"/>
  <c r="AG203"/>
  <c r="AG204"/>
  <c r="AG205"/>
  <c r="AG206"/>
  <c r="AG207"/>
  <c r="AG208"/>
  <c r="AG209"/>
  <c r="AG210"/>
  <c r="AG211"/>
  <c r="AG212"/>
  <c r="AG213"/>
  <c r="AG214"/>
  <c r="AG215"/>
  <c r="AG216"/>
  <c r="AG217"/>
  <c r="AG218"/>
  <c r="AG219"/>
  <c r="AG220"/>
  <c r="AG221"/>
  <c r="AG222"/>
  <c r="AG223"/>
  <c r="AG224"/>
  <c r="AG225"/>
  <c r="AG226"/>
  <c r="AG227"/>
  <c r="AG228"/>
  <c r="AG229"/>
  <c r="AG230"/>
  <c r="AG231"/>
  <c r="AG232"/>
  <c r="AG233"/>
  <c r="AG234"/>
  <c r="AG235"/>
  <c r="AG236"/>
  <c r="AG237"/>
  <c r="AG238"/>
  <c r="AG239"/>
  <c r="AG240"/>
  <c r="AG241"/>
  <c r="AG242"/>
  <c r="AG243"/>
  <c r="AG244"/>
  <c r="AG245"/>
  <c r="AG246"/>
  <c r="AG247"/>
  <c r="AG248"/>
  <c r="AG249"/>
  <c r="AG250"/>
  <c r="AG251"/>
  <c r="AG252"/>
  <c r="AG253"/>
  <c r="AG254"/>
  <c r="AG255"/>
  <c r="AG256"/>
  <c r="AG257"/>
  <c r="AG258"/>
  <c r="AG259"/>
  <c r="AG260"/>
  <c r="AG261"/>
  <c r="AG262"/>
  <c r="AG263"/>
  <c r="AG264"/>
  <c r="AG265"/>
  <c r="AG266"/>
  <c r="AG267"/>
  <c r="AG268"/>
  <c r="AG269"/>
  <c r="AG270"/>
  <c r="AG271"/>
  <c r="AG272"/>
  <c r="AG273"/>
  <c r="AG274"/>
  <c r="AG275"/>
  <c r="AG276"/>
  <c r="AG277"/>
  <c r="AG278"/>
  <c r="AG279"/>
  <c r="AG280"/>
  <c r="AG281"/>
  <c r="AG282"/>
  <c r="AG283"/>
  <c r="AG284"/>
  <c r="AG285"/>
  <c r="AG286"/>
  <c r="AG287"/>
  <c r="AG288"/>
  <c r="AG289"/>
  <c r="AG290"/>
  <c r="AG291"/>
  <c r="AG292"/>
  <c r="AG293"/>
  <c r="AG294"/>
  <c r="AG295"/>
  <c r="AG296"/>
  <c r="AG297"/>
  <c r="AG298"/>
  <c r="AG299"/>
  <c r="AG300"/>
  <c r="AG301"/>
  <c r="AG302"/>
  <c r="AG303"/>
  <c r="AG304"/>
  <c r="AG305"/>
  <c r="AG306"/>
  <c r="AG307"/>
  <c r="AI51"/>
  <c r="AI52"/>
  <c r="AI53"/>
  <c r="AI54"/>
  <c r="AI55"/>
  <c r="AI56"/>
  <c r="AI57"/>
  <c r="AI58"/>
  <c r="AI59"/>
  <c r="AI60"/>
  <c r="AI61"/>
  <c r="AI62"/>
  <c r="AI63"/>
  <c r="AI64"/>
  <c r="AI65"/>
  <c r="AI66"/>
  <c r="AI67"/>
  <c r="AI68"/>
  <c r="AI69"/>
  <c r="AI70"/>
  <c r="AI71"/>
  <c r="AI72"/>
  <c r="AI73"/>
  <c r="AI74"/>
  <c r="AI75"/>
  <c r="AI76"/>
  <c r="AI77"/>
  <c r="AI78"/>
  <c r="AI79"/>
  <c r="AI80"/>
  <c r="AI81"/>
  <c r="AI82"/>
  <c r="AI83"/>
  <c r="AI84"/>
  <c r="AI85"/>
  <c r="AI86"/>
  <c r="AI87"/>
  <c r="AI88"/>
  <c r="AI89"/>
  <c r="AI90"/>
  <c r="AI91"/>
  <c r="AI92"/>
  <c r="AI93"/>
  <c r="AI94"/>
  <c r="AI95"/>
  <c r="AI96"/>
  <c r="AI97"/>
  <c r="AI98"/>
  <c r="AI99"/>
  <c r="AI100"/>
  <c r="AI101"/>
  <c r="AI102"/>
  <c r="AI103"/>
  <c r="AI104"/>
  <c r="AI105"/>
  <c r="AI106"/>
  <c r="AI107"/>
  <c r="AI108"/>
  <c r="AI109"/>
  <c r="AI110"/>
  <c r="AI111"/>
  <c r="AI112"/>
  <c r="AI113"/>
  <c r="AI114"/>
  <c r="AI115"/>
  <c r="AI116"/>
  <c r="AI117"/>
  <c r="AI118"/>
  <c r="AI119"/>
  <c r="AI120"/>
  <c r="AI121"/>
  <c r="AI122"/>
  <c r="AI123"/>
  <c r="AI124"/>
  <c r="AI125"/>
  <c r="AI126"/>
  <c r="AI127"/>
  <c r="AI128"/>
  <c r="AI129"/>
  <c r="AI130"/>
  <c r="AI131"/>
  <c r="AI132"/>
  <c r="AI133"/>
  <c r="AI134"/>
  <c r="AI135"/>
  <c r="AI136"/>
  <c r="AI137"/>
  <c r="AI138"/>
  <c r="AI139"/>
  <c r="AI140"/>
  <c r="AI141"/>
  <c r="AI142"/>
  <c r="AI143"/>
  <c r="AI144"/>
  <c r="AI145"/>
  <c r="AI146"/>
  <c r="AI147"/>
  <c r="AI148"/>
  <c r="AI149"/>
  <c r="AI150"/>
  <c r="AI151"/>
  <c r="AI152"/>
  <c r="AI153"/>
  <c r="AI154"/>
  <c r="AI155"/>
  <c r="AI156"/>
  <c r="AI157"/>
  <c r="AI158"/>
  <c r="AI159"/>
  <c r="AI160"/>
  <c r="AI161"/>
  <c r="AI162"/>
  <c r="AI163"/>
  <c r="AI164"/>
  <c r="AI165"/>
  <c r="AI166"/>
  <c r="AI167"/>
  <c r="AI168"/>
  <c r="AI169"/>
  <c r="AI170"/>
  <c r="AI171"/>
  <c r="AI172"/>
  <c r="AI173"/>
  <c r="AI174"/>
  <c r="AI175"/>
  <c r="AI176"/>
  <c r="AI177"/>
  <c r="AI178"/>
  <c r="AI179"/>
  <c r="AI180"/>
  <c r="AI181"/>
  <c r="AI182"/>
  <c r="AI183"/>
  <c r="AI184"/>
  <c r="AI185"/>
  <c r="AI186"/>
  <c r="AI187"/>
  <c r="AI188"/>
  <c r="AI189"/>
  <c r="AI190"/>
  <c r="AI191"/>
  <c r="AI192"/>
  <c r="AI193"/>
  <c r="AI194"/>
  <c r="AI195"/>
  <c r="AI196"/>
  <c r="AI197"/>
  <c r="AI198"/>
  <c r="AI199"/>
  <c r="AI200"/>
  <c r="AI201"/>
  <c r="AI202"/>
  <c r="AI203"/>
  <c r="AI204"/>
  <c r="AI205"/>
  <c r="AI206"/>
  <c r="AI207"/>
  <c r="AI208"/>
  <c r="AI209"/>
  <c r="AI210"/>
  <c r="AI211"/>
  <c r="AI212"/>
  <c r="AI213"/>
  <c r="AI214"/>
  <c r="AI215"/>
  <c r="AI216"/>
  <c r="AI217"/>
  <c r="AI218"/>
  <c r="AI219"/>
  <c r="AI220"/>
  <c r="AI221"/>
  <c r="AI222"/>
  <c r="AI223"/>
  <c r="AI224"/>
  <c r="AI225"/>
  <c r="AI226"/>
  <c r="AI227"/>
  <c r="AI228"/>
  <c r="AI229"/>
  <c r="AI230"/>
  <c r="AI231"/>
  <c r="AI232"/>
  <c r="AI233"/>
  <c r="AI234"/>
  <c r="AI235"/>
  <c r="AI236"/>
  <c r="AI237"/>
  <c r="AI238"/>
  <c r="AI239"/>
  <c r="AI240"/>
  <c r="AI241"/>
  <c r="AI242"/>
  <c r="AI243"/>
  <c r="AI244"/>
  <c r="AI245"/>
  <c r="AI246"/>
  <c r="AI247"/>
  <c r="AI248"/>
  <c r="AI249"/>
  <c r="AI250"/>
  <c r="AI251"/>
  <c r="AI252"/>
  <c r="AI253"/>
  <c r="AI254"/>
  <c r="AI255"/>
  <c r="AI256"/>
  <c r="AI257"/>
  <c r="AI258"/>
  <c r="AI259"/>
  <c r="AI260"/>
  <c r="AI261"/>
  <c r="AI262"/>
  <c r="AI263"/>
  <c r="AI264"/>
  <c r="AI265"/>
  <c r="AI266"/>
  <c r="AI267"/>
  <c r="AI268"/>
  <c r="AI269"/>
  <c r="AI270"/>
  <c r="AI271"/>
  <c r="AI272"/>
  <c r="AI273"/>
  <c r="AI274"/>
  <c r="AI275"/>
  <c r="AI276"/>
  <c r="AI277"/>
  <c r="AI278"/>
  <c r="AI279"/>
  <c r="AI280"/>
  <c r="AI281"/>
  <c r="AI282"/>
  <c r="AI283"/>
  <c r="AI284"/>
  <c r="AI285"/>
  <c r="AI286"/>
  <c r="AI287"/>
  <c r="AI288"/>
  <c r="AI289"/>
  <c r="AI290"/>
  <c r="AI291"/>
  <c r="AI292"/>
  <c r="AI293"/>
  <c r="AI294"/>
  <c r="AI295"/>
  <c r="AI296"/>
  <c r="AI297"/>
  <c r="AI298"/>
  <c r="AI299"/>
  <c r="AI300"/>
  <c r="AI301"/>
  <c r="AI302"/>
  <c r="AI303"/>
  <c r="AI304"/>
  <c r="AI305"/>
  <c r="AI306"/>
  <c r="AI307"/>
  <c r="AH307" l="1"/>
  <c r="AH269"/>
  <c r="AH253"/>
  <c r="AH301"/>
  <c r="AH217"/>
  <c r="AH249"/>
  <c r="AH285"/>
  <c r="AH185"/>
  <c r="AH293"/>
  <c r="AH233"/>
  <c r="AH169"/>
  <c r="AH277"/>
  <c r="AH261"/>
  <c r="AH201"/>
  <c r="AH225"/>
  <c r="AH193"/>
  <c r="AH177"/>
  <c r="AH241"/>
  <c r="AH209"/>
  <c r="AH161"/>
  <c r="AH245"/>
  <c r="AH229"/>
  <c r="AH213"/>
  <c r="AH197"/>
  <c r="AH173"/>
  <c r="AH165"/>
  <c r="AH237"/>
  <c r="AH221"/>
  <c r="AH205"/>
  <c r="AH189"/>
  <c r="AH181"/>
  <c r="AH157"/>
  <c r="AH305"/>
  <c r="AH297"/>
  <c r="AH289"/>
  <c r="AH281"/>
  <c r="AH273"/>
  <c r="AH265"/>
  <c r="AH257"/>
  <c r="AH303"/>
  <c r="AH299"/>
  <c r="AH295"/>
  <c r="AH291"/>
  <c r="AH287"/>
  <c r="AH283"/>
  <c r="AH279"/>
  <c r="AH275"/>
  <c r="AH271"/>
  <c r="AH267"/>
  <c r="AH263"/>
  <c r="AH259"/>
  <c r="AH255"/>
  <c r="AH251"/>
  <c r="AH247"/>
  <c r="AH243"/>
  <c r="AH239"/>
  <c r="AH235"/>
  <c r="AH231"/>
  <c r="AH227"/>
  <c r="AH223"/>
  <c r="AH219"/>
  <c r="AH215"/>
  <c r="AH211"/>
  <c r="AH207"/>
  <c r="AH203"/>
  <c r="AH199"/>
  <c r="AH195"/>
  <c r="AH191"/>
  <c r="AH187"/>
  <c r="AH183"/>
  <c r="AH179"/>
  <c r="AH175"/>
  <c r="AH171"/>
  <c r="AH167"/>
  <c r="AH163"/>
  <c r="AH159"/>
  <c r="AH155"/>
  <c r="AH306"/>
  <c r="AH304"/>
  <c r="AH302"/>
  <c r="AH300"/>
  <c r="AH298"/>
  <c r="AH296"/>
  <c r="AH294"/>
  <c r="AH292"/>
  <c r="AH290"/>
  <c r="AH288"/>
  <c r="AH286"/>
  <c r="AH284"/>
  <c r="AH282"/>
  <c r="AH280"/>
  <c r="AH278"/>
  <c r="AH276"/>
  <c r="AH274"/>
  <c r="AH272"/>
  <c r="AH270"/>
  <c r="AH268"/>
  <c r="AH266"/>
  <c r="AH264"/>
  <c r="AH262"/>
  <c r="AH260"/>
  <c r="AH258"/>
  <c r="AH256"/>
  <c r="AH254"/>
  <c r="AH252"/>
  <c r="AH250"/>
  <c r="AH248"/>
  <c r="AH246"/>
  <c r="AH244"/>
  <c r="AH242"/>
  <c r="AH240"/>
  <c r="AH238"/>
  <c r="AH236"/>
  <c r="AH234"/>
  <c r="AH232"/>
  <c r="AH230"/>
  <c r="AH228"/>
  <c r="AH226"/>
  <c r="AH224"/>
  <c r="AH222"/>
  <c r="AH220"/>
  <c r="AH218"/>
  <c r="AH216"/>
  <c r="AH214"/>
  <c r="AH212"/>
  <c r="AH210"/>
  <c r="AH208"/>
  <c r="AH206"/>
  <c r="AH204"/>
  <c r="AH202"/>
  <c r="AH200"/>
  <c r="AH198"/>
  <c r="AH196"/>
  <c r="AH194"/>
  <c r="AH192"/>
  <c r="AH190"/>
  <c r="AH188"/>
  <c r="AH186"/>
  <c r="AH184"/>
  <c r="AH182"/>
  <c r="AH180"/>
  <c r="AH178"/>
  <c r="AH176"/>
  <c r="AH174"/>
  <c r="AH172"/>
  <c r="AH170"/>
  <c r="AH168"/>
  <c r="AH166"/>
  <c r="AH164"/>
  <c r="AH162"/>
  <c r="AH160"/>
  <c r="AH158"/>
  <c r="AH156"/>
  <c r="J3" i="3"/>
  <c r="I3" a="1"/>
  <c r="I3" s="1"/>
  <c r="F3"/>
  <c r="H3"/>
  <c r="G3"/>
  <c r="J14" i="5"/>
  <c r="J15"/>
  <c r="J16"/>
  <c r="J17"/>
  <c r="J18"/>
  <c r="J19"/>
  <c r="J20"/>
  <c r="J21"/>
  <c r="AD7" i="1"/>
  <c r="AD8"/>
  <c r="AD9"/>
  <c r="AD10"/>
  <c r="AD11"/>
  <c r="E83" i="15" a="1"/>
  <c r="E83" s="1"/>
  <c r="C83" a="1"/>
  <c r="C83" s="1"/>
  <c r="F83" a="1"/>
  <c r="F83" l="1"/>
  <c r="E88" a="1"/>
  <c r="E88" s="1"/>
  <c r="C88" a="1"/>
  <c r="C88" s="1"/>
  <c r="E84" a="1"/>
  <c r="E84" s="1"/>
  <c r="C84" a="1"/>
  <c r="C84" s="1"/>
  <c r="E82" a="1"/>
  <c r="E82" s="1"/>
  <c r="C82" a="1"/>
  <c r="C82" s="1"/>
  <c r="E85" a="1"/>
  <c r="E85" s="1"/>
  <c r="E86" a="1"/>
  <c r="E86" s="1"/>
  <c r="E81" a="1"/>
  <c r="E81" s="1"/>
  <c r="C81" a="1"/>
  <c r="C81" s="1"/>
  <c r="I40" i="3" a="1"/>
  <c r="I40" s="1"/>
  <c r="I39" a="1"/>
  <c r="I39" s="1"/>
  <c r="I38" a="1"/>
  <c r="I38" s="1"/>
  <c r="I37" a="1"/>
  <c r="I37" s="1"/>
  <c r="I36" a="1"/>
  <c r="I36" s="1"/>
  <c r="I35" a="1"/>
  <c r="I35" s="1"/>
  <c r="I34" a="1"/>
  <c r="I34" s="1"/>
  <c r="I33" a="1"/>
  <c r="I33" s="1"/>
  <c r="I32" a="1"/>
  <c r="I32" s="1"/>
  <c r="I31" a="1"/>
  <c r="I31" s="1"/>
  <c r="I30" a="1"/>
  <c r="I30" s="1"/>
  <c r="I29" a="1"/>
  <c r="I29" s="1"/>
  <c r="I28" a="1"/>
  <c r="I28" s="1"/>
  <c r="I27" a="1"/>
  <c r="I27" s="1"/>
  <c r="I26" a="1"/>
  <c r="I26" s="1"/>
  <c r="I25" a="1"/>
  <c r="I25" s="1"/>
  <c r="I24" a="1"/>
  <c r="I24" s="1"/>
  <c r="I23" a="1"/>
  <c r="I23" s="1"/>
  <c r="I22" a="1"/>
  <c r="I22" s="1"/>
  <c r="I21" a="1"/>
  <c r="I21" s="1"/>
  <c r="I20" a="1"/>
  <c r="I20" s="1"/>
  <c r="I19" a="1"/>
  <c r="I19" s="1"/>
  <c r="I18" a="1"/>
  <c r="I18" s="1"/>
  <c r="I17" a="1"/>
  <c r="I17" s="1"/>
  <c r="I16" a="1"/>
  <c r="I16" s="1"/>
  <c r="I15" a="1"/>
  <c r="I15" s="1"/>
  <c r="I14" a="1"/>
  <c r="I14" s="1"/>
  <c r="I13" a="1"/>
  <c r="I13" s="1"/>
  <c r="I12" a="1"/>
  <c r="I12" s="1"/>
  <c r="I11" a="1"/>
  <c r="I11" s="1"/>
  <c r="I10" a="1"/>
  <c r="I10" s="1"/>
  <c r="I9" a="1"/>
  <c r="I9" s="1"/>
  <c r="I8" a="1"/>
  <c r="I8" s="1"/>
  <c r="I7" a="1"/>
  <c r="I7" s="1"/>
  <c r="I6" a="1"/>
  <c r="I6" s="1"/>
  <c r="I5" a="1"/>
  <c r="I5" s="1"/>
  <c r="I4" a="1"/>
  <c r="I4" s="1"/>
  <c r="E90" i="15" a="1"/>
  <c r="E90" s="1"/>
  <c r="C90" a="1"/>
  <c r="C90" s="1"/>
  <c r="C86" a="1"/>
  <c r="C86" s="1"/>
  <c r="E47" a="1"/>
  <c r="E47" s="1"/>
  <c r="C47" a="1"/>
  <c r="C47" s="1"/>
  <c r="H4" i="3"/>
  <c r="H5"/>
  <c r="H6"/>
  <c r="H7"/>
  <c r="H8"/>
  <c r="H9"/>
  <c r="H10"/>
  <c r="H11"/>
  <c r="H12"/>
  <c r="H13"/>
  <c r="H14"/>
  <c r="H15"/>
  <c r="H16"/>
  <c r="H17"/>
  <c r="H18"/>
  <c r="H19"/>
  <c r="H20"/>
  <c r="H21"/>
  <c r="H22"/>
  <c r="H23"/>
  <c r="H24"/>
  <c r="H25"/>
  <c r="H26"/>
  <c r="H27"/>
  <c r="H28"/>
  <c r="H29"/>
  <c r="H30"/>
  <c r="H31"/>
  <c r="H32"/>
  <c r="H33"/>
  <c r="H34"/>
  <c r="H35"/>
  <c r="H36"/>
  <c r="H37"/>
  <c r="H38"/>
  <c r="H39"/>
  <c r="H40"/>
  <c r="G4"/>
  <c r="G5"/>
  <c r="G6"/>
  <c r="G7"/>
  <c r="G8"/>
  <c r="G9"/>
  <c r="G10"/>
  <c r="G11"/>
  <c r="G12"/>
  <c r="G13"/>
  <c r="G14"/>
  <c r="G15"/>
  <c r="G16"/>
  <c r="G17"/>
  <c r="G18"/>
  <c r="G19"/>
  <c r="G20"/>
  <c r="G21"/>
  <c r="G22"/>
  <c r="G23"/>
  <c r="G24"/>
  <c r="G25"/>
  <c r="G26"/>
  <c r="G27"/>
  <c r="G28"/>
  <c r="G29"/>
  <c r="G30"/>
  <c r="G31"/>
  <c r="G32"/>
  <c r="G33"/>
  <c r="G34"/>
  <c r="G35"/>
  <c r="G36"/>
  <c r="G37"/>
  <c r="G38"/>
  <c r="G39"/>
  <c r="G40"/>
  <c r="F90" i="15" a="1"/>
  <c r="F88" a="1"/>
  <c r="F84" a="1"/>
  <c r="F82" a="1"/>
  <c r="F81"/>
  <c r="F86" a="1"/>
  <c r="F84" l="1"/>
  <c r="F82"/>
  <c r="F88"/>
  <c r="C87" a="1"/>
  <c r="C87" s="1"/>
  <c r="C91" a="1"/>
  <c r="C91" s="1"/>
  <c r="E87" a="1"/>
  <c r="E87" s="1"/>
  <c r="E91" a="1"/>
  <c r="E91" s="1"/>
  <c r="F90"/>
  <c r="F86"/>
  <c r="Q12" i="5"/>
  <c r="Q13"/>
  <c r="Q14"/>
  <c r="Q15"/>
  <c r="E67" i="15" a="1"/>
  <c r="E67" s="1"/>
  <c r="C67" a="1"/>
  <c r="C67" s="1"/>
  <c r="E66" a="1"/>
  <c r="E66" s="1"/>
  <c r="C66" a="1"/>
  <c r="C66" s="1"/>
  <c r="E65" a="1"/>
  <c r="E65" s="1"/>
  <c r="E64" a="1"/>
  <c r="E64" s="1"/>
  <c r="C65" a="1"/>
  <c r="C65" s="1"/>
  <c r="C64" a="1"/>
  <c r="C64" s="1"/>
  <c r="C56" a="1"/>
  <c r="C56" s="1"/>
  <c r="C62" a="1"/>
  <c r="C62" s="1"/>
  <c r="C60" a="1"/>
  <c r="C60" s="1"/>
  <c r="E63" a="1"/>
  <c r="E63" s="1"/>
  <c r="E62" a="1"/>
  <c r="E62" s="1"/>
  <c r="C63" a="1"/>
  <c r="C63" s="1"/>
  <c r="E61" a="1"/>
  <c r="E61" s="1"/>
  <c r="E60" a="1"/>
  <c r="E60" s="1"/>
  <c r="C61" a="1"/>
  <c r="C61" s="1"/>
  <c r="E59" a="1"/>
  <c r="E59" s="1"/>
  <c r="C59" a="1"/>
  <c r="C59" s="1"/>
  <c r="E58" a="1"/>
  <c r="E58" s="1"/>
  <c r="C58" a="1"/>
  <c r="C58" s="1"/>
  <c r="C8" a="1"/>
  <c r="C8" s="1"/>
  <c r="E89" a="1"/>
  <c r="E89" s="1"/>
  <c r="C89" a="1"/>
  <c r="C89" s="1"/>
  <c r="C85" a="1"/>
  <c r="C85" s="1"/>
  <c r="C40" a="1"/>
  <c r="C40" s="1"/>
  <c r="O4" i="5"/>
  <c r="L6"/>
  <c r="K3" a="1"/>
  <c r="K3" s="1"/>
  <c r="K4" a="1"/>
  <c r="K4" s="1"/>
  <c r="K5" a="1"/>
  <c r="K5" s="1"/>
  <c r="K6" a="1"/>
  <c r="K6" s="1"/>
  <c r="K7" a="1"/>
  <c r="K7" s="1"/>
  <c r="K8" a="1"/>
  <c r="K8" s="1"/>
  <c r="K9" a="1"/>
  <c r="K9" s="1"/>
  <c r="K10" a="1"/>
  <c r="K10" s="1"/>
  <c r="K11" a="1"/>
  <c r="K11" s="1"/>
  <c r="K12" a="1"/>
  <c r="K12" s="1"/>
  <c r="K13" a="1"/>
  <c r="K13" s="1"/>
  <c r="K14" a="1"/>
  <c r="K14" s="1"/>
  <c r="K15" a="1"/>
  <c r="K15" s="1"/>
  <c r="K16" a="1"/>
  <c r="K16" s="1"/>
  <c r="K17" a="1"/>
  <c r="K17" s="1"/>
  <c r="K18" a="1"/>
  <c r="K18" s="1"/>
  <c r="K19" a="1"/>
  <c r="K19" s="1"/>
  <c r="K20" a="1"/>
  <c r="K20" s="1"/>
  <c r="K21" a="1"/>
  <c r="K21" s="1"/>
  <c r="K22" a="1"/>
  <c r="K22" s="1"/>
  <c r="K23" a="1"/>
  <c r="K23" s="1"/>
  <c r="K24" a="1"/>
  <c r="K24" s="1"/>
  <c r="K25" a="1"/>
  <c r="K25" s="1"/>
  <c r="K26" a="1"/>
  <c r="K26" s="1"/>
  <c r="K27" a="1"/>
  <c r="K27" s="1"/>
  <c r="K28" a="1"/>
  <c r="K28" s="1"/>
  <c r="K29" a="1"/>
  <c r="K29" s="1"/>
  <c r="K30" a="1"/>
  <c r="K30" s="1"/>
  <c r="K31" a="1"/>
  <c r="K31" s="1"/>
  <c r="K32" a="1"/>
  <c r="K32" s="1"/>
  <c r="K33" a="1"/>
  <c r="K33" s="1"/>
  <c r="K34" a="1"/>
  <c r="K34" s="1"/>
  <c r="K35" a="1"/>
  <c r="K35" s="1"/>
  <c r="K36" a="1"/>
  <c r="K36" s="1"/>
  <c r="K37" a="1"/>
  <c r="K37" s="1"/>
  <c r="K38" a="1"/>
  <c r="K38" s="1"/>
  <c r="K39" a="1"/>
  <c r="K39" s="1"/>
  <c r="K40" a="1"/>
  <c r="K40" s="1"/>
  <c r="K41" a="1"/>
  <c r="K41" s="1"/>
  <c r="K42" a="1"/>
  <c r="K42" s="1"/>
  <c r="K43" a="1"/>
  <c r="K43" s="1"/>
  <c r="K44" a="1"/>
  <c r="K44" s="1"/>
  <c r="K45" a="1"/>
  <c r="K45" s="1"/>
  <c r="K46" a="1"/>
  <c r="K46" s="1"/>
  <c r="K47" a="1"/>
  <c r="K47" s="1"/>
  <c r="K48" a="1"/>
  <c r="K48" s="1"/>
  <c r="K49" a="1"/>
  <c r="K49" s="1"/>
  <c r="K50" a="1"/>
  <c r="K50" s="1"/>
  <c r="J3"/>
  <c r="E56" i="15" a="1"/>
  <c r="E56" s="1"/>
  <c r="C53"/>
  <c r="E28" a="1"/>
  <c r="E28" s="1"/>
  <c r="F4" i="3"/>
  <c r="F5"/>
  <c r="F6"/>
  <c r="F7"/>
  <c r="F8"/>
  <c r="F9"/>
  <c r="F10"/>
  <c r="F11"/>
  <c r="F12"/>
  <c r="F13"/>
  <c r="F14"/>
  <c r="F15"/>
  <c r="F16"/>
  <c r="F17"/>
  <c r="F18"/>
  <c r="F19"/>
  <c r="F20"/>
  <c r="F21"/>
  <c r="F22"/>
  <c r="F23"/>
  <c r="F24"/>
  <c r="F25"/>
  <c r="F26"/>
  <c r="F27"/>
  <c r="F28"/>
  <c r="F29"/>
  <c r="F30"/>
  <c r="F31"/>
  <c r="F32"/>
  <c r="F33"/>
  <c r="F34"/>
  <c r="F35"/>
  <c r="F36"/>
  <c r="F37"/>
  <c r="F38"/>
  <c r="F39"/>
  <c r="F40"/>
  <c r="J4" i="5"/>
  <c r="J5"/>
  <c r="J6"/>
  <c r="J7"/>
  <c r="J8"/>
  <c r="J9"/>
  <c r="J10"/>
  <c r="J11"/>
  <c r="J12"/>
  <c r="J13"/>
  <c r="J22"/>
  <c r="J23"/>
  <c r="J24"/>
  <c r="J25"/>
  <c r="J26"/>
  <c r="J27"/>
  <c r="J28"/>
  <c r="J29"/>
  <c r="J30"/>
  <c r="J31"/>
  <c r="J32"/>
  <c r="J33"/>
  <c r="J34"/>
  <c r="J35"/>
  <c r="J36"/>
  <c r="J37"/>
  <c r="J38"/>
  <c r="J39"/>
  <c r="J40"/>
  <c r="J41"/>
  <c r="J42"/>
  <c r="J43"/>
  <c r="J44"/>
  <c r="J45"/>
  <c r="J46"/>
  <c r="J47"/>
  <c r="J48"/>
  <c r="J49"/>
  <c r="J50"/>
  <c r="AE3" i="1"/>
  <c r="AE4"/>
  <c r="AE5"/>
  <c r="AE6"/>
  <c r="AE7"/>
  <c r="AE8"/>
  <c r="AE9"/>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E48"/>
  <c r="AE49"/>
  <c r="AE50"/>
  <c r="AD3"/>
  <c r="AD4"/>
  <c r="AD5"/>
  <c r="AD6"/>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D48"/>
  <c r="AD49"/>
  <c r="AD50"/>
  <c r="AF23"/>
  <c r="F63" i="15"/>
  <c r="F61" a="1"/>
  <c r="F59"/>
  <c r="F65" a="1"/>
  <c r="F91" a="1"/>
  <c r="F87" a="1"/>
  <c r="F60" a="1"/>
  <c r="F62" a="1"/>
  <c r="F85"/>
  <c r="F28" a="1"/>
  <c r="F66" a="1"/>
  <c r="F56" a="1"/>
  <c r="F58" a="1"/>
  <c r="F89"/>
  <c r="F67" a="1"/>
  <c r="F64" a="1"/>
  <c r="C55" l="1" a="1"/>
  <c r="C55" s="1"/>
  <c r="C80" a="1"/>
  <c r="C80" s="1"/>
  <c r="C57" a="1"/>
  <c r="C57" s="1"/>
  <c r="E80" a="1"/>
  <c r="E80" s="1"/>
  <c r="F91"/>
  <c r="F87"/>
  <c r="F62"/>
  <c r="F64"/>
  <c r="F60"/>
  <c r="F61"/>
  <c r="F65"/>
  <c r="F66"/>
  <c r="F67"/>
  <c r="F58"/>
  <c r="F56"/>
  <c r="E57" a="1"/>
  <c r="E57" s="1"/>
  <c r="F57" s="1"/>
  <c r="C54"/>
  <c r="E55" a="1"/>
  <c r="E55" s="1"/>
  <c r="E54"/>
  <c r="F28"/>
  <c r="R7" i="5"/>
  <c r="F80" i="15" a="1"/>
  <c r="F55"/>
  <c r="F54"/>
  <c r="F80" l="1"/>
  <c r="E49" a="1"/>
  <c r="E49" s="1"/>
  <c r="C49" a="1"/>
  <c r="C49" s="1"/>
  <c r="E48" a="1"/>
  <c r="E48" s="1"/>
  <c r="C48" a="1"/>
  <c r="C48" s="1"/>
  <c r="E46" a="1"/>
  <c r="E46" s="1"/>
  <c r="C46" a="1"/>
  <c r="C46" s="1"/>
  <c r="E45" a="1"/>
  <c r="E45" s="1"/>
  <c r="C45" a="1"/>
  <c r="C45" s="1"/>
  <c r="E44" a="1"/>
  <c r="E44" s="1"/>
  <c r="C44" a="1"/>
  <c r="C44" s="1"/>
  <c r="E43" a="1"/>
  <c r="E43" s="1"/>
  <c r="C43" a="1"/>
  <c r="C43" s="1"/>
  <c r="C42" a="1"/>
  <c r="C42" s="1"/>
  <c r="E41" a="1"/>
  <c r="E41" s="1"/>
  <c r="E42" a="1"/>
  <c r="E42" s="1"/>
  <c r="C41"/>
  <c r="E40" a="1"/>
  <c r="E40" s="1"/>
  <c r="E39" a="1"/>
  <c r="E39" s="1"/>
  <c r="C39" a="1"/>
  <c r="C39" s="1"/>
  <c r="E33" a="1"/>
  <c r="E33" s="1"/>
  <c r="C33" a="1"/>
  <c r="C33" s="1"/>
  <c r="E32" a="1"/>
  <c r="E32" s="1"/>
  <c r="C32" a="1"/>
  <c r="C32" s="1"/>
  <c r="E31" a="1"/>
  <c r="E31" s="1"/>
  <c r="F31" s="1" a="1"/>
  <c r="C31" a="1"/>
  <c r="C31" s="1"/>
  <c r="E30" a="1"/>
  <c r="E30" s="1"/>
  <c r="C30" a="1"/>
  <c r="C30" s="1"/>
  <c r="E29" a="1"/>
  <c r="E29" s="1"/>
  <c r="C29" a="1"/>
  <c r="C29" s="1"/>
  <c r="C28" a="1"/>
  <c r="C28" s="1"/>
  <c r="E27"/>
  <c r="C27" a="1"/>
  <c r="C27" s="1"/>
  <c r="E26" a="1"/>
  <c r="E26" s="1"/>
  <c r="C26" a="1"/>
  <c r="C26" s="1"/>
  <c r="E25" a="1"/>
  <c r="E25" s="1"/>
  <c r="C25" a="1"/>
  <c r="C25" s="1"/>
  <c r="E24" a="1"/>
  <c r="E24" s="1"/>
  <c r="C24" a="1"/>
  <c r="C24" s="1"/>
  <c r="F41" a="1"/>
  <c r="F40"/>
  <c r="F49" a="1"/>
  <c r="F27" a="1"/>
  <c r="F24" a="1"/>
  <c r="F42" a="1"/>
  <c r="F45" a="1"/>
  <c r="F47" a="1"/>
  <c r="F33" a="1"/>
  <c r="F49" l="1"/>
  <c r="F45"/>
  <c r="F47"/>
  <c r="F42"/>
  <c r="F41"/>
  <c r="F33"/>
  <c r="F24"/>
  <c r="F31"/>
  <c r="F27"/>
  <c r="C20" a="1"/>
  <c r="C20" s="1"/>
  <c r="E23" a="1"/>
  <c r="E23" s="1"/>
  <c r="C23" a="1"/>
  <c r="C23" s="1"/>
  <c r="C22" a="1"/>
  <c r="C22" s="1"/>
  <c r="E22" a="1"/>
  <c r="E22" s="1"/>
  <c r="E21" a="1"/>
  <c r="E21" s="1"/>
  <c r="C21" a="1"/>
  <c r="C21" s="1"/>
  <c r="E20" a="1"/>
  <c r="E20" s="1"/>
  <c r="F20" s="1" a="1"/>
  <c r="E19" a="1"/>
  <c r="E19" s="1"/>
  <c r="C19" a="1"/>
  <c r="C19" s="1"/>
  <c r="E18" a="1"/>
  <c r="E18" s="1"/>
  <c r="C18" a="1"/>
  <c r="C18" s="1"/>
  <c r="E17" a="1"/>
  <c r="E17" s="1"/>
  <c r="C17" a="1"/>
  <c r="C17" s="1"/>
  <c r="E15" a="1"/>
  <c r="E15" s="1"/>
  <c r="C15" a="1"/>
  <c r="C15" s="1"/>
  <c r="E13" a="1"/>
  <c r="E13" s="1"/>
  <c r="C13" a="1"/>
  <c r="C13" s="1"/>
  <c r="E11" a="1"/>
  <c r="E11" s="1"/>
  <c r="E10" a="1"/>
  <c r="E10" s="1"/>
  <c r="C11" a="1"/>
  <c r="C11" s="1"/>
  <c r="E12" a="1"/>
  <c r="E12" s="1"/>
  <c r="C12" a="1"/>
  <c r="C12" s="1"/>
  <c r="E9" a="1"/>
  <c r="E9" s="1"/>
  <c r="C10" a="1"/>
  <c r="C10" s="1"/>
  <c r="C9" a="1"/>
  <c r="C9" s="1"/>
  <c r="F13" a="1"/>
  <c r="F18" a="1"/>
  <c r="F12" a="1"/>
  <c r="F9" a="1"/>
  <c r="F15" a="1"/>
  <c r="F11" a="1"/>
  <c r="F48" a="1"/>
  <c r="F32" a="1"/>
  <c r="F22" a="1"/>
  <c r="F39" a="1"/>
  <c r="F21" a="1"/>
  <c r="F29" a="1"/>
  <c r="F30" a="1"/>
  <c r="F46" a="1"/>
  <c r="F25" a="1"/>
  <c r="F44" a="1"/>
  <c r="F26" a="1"/>
  <c r="F19" a="1"/>
  <c r="F23" a="1"/>
  <c r="F10" a="1"/>
  <c r="F43" a="1"/>
  <c r="F17" a="1"/>
  <c r="F20" l="1"/>
  <c r="F18"/>
  <c r="F12"/>
  <c r="F13"/>
  <c r="F19"/>
  <c r="F10"/>
  <c r="F15"/>
  <c r="F48"/>
  <c r="F46"/>
  <c r="F44"/>
  <c r="F43"/>
  <c r="F39"/>
  <c r="F32"/>
  <c r="F30"/>
  <c r="F29"/>
  <c r="F26"/>
  <c r="F25"/>
  <c r="F22"/>
  <c r="F23"/>
  <c r="F21"/>
  <c r="F17"/>
  <c r="F11"/>
  <c r="F9"/>
  <c r="C96" l="1"/>
  <c r="C94"/>
  <c r="C92"/>
  <c r="C72"/>
  <c r="C71"/>
  <c r="C70"/>
  <c r="C69"/>
  <c r="C68"/>
  <c r="C95" l="1"/>
  <c r="M4" i="5"/>
  <c r="M5"/>
  <c r="M6"/>
  <c r="M7"/>
  <c r="M8"/>
  <c r="M9"/>
  <c r="M10"/>
  <c r="M11"/>
  <c r="M12"/>
  <c r="M13"/>
  <c r="M14"/>
  <c r="M15"/>
  <c r="M16"/>
  <c r="M17"/>
  <c r="M18"/>
  <c r="M19"/>
  <c r="M20"/>
  <c r="M21"/>
  <c r="M22"/>
  <c r="M23"/>
  <c r="M24"/>
  <c r="M25"/>
  <c r="M26"/>
  <c r="M27"/>
  <c r="M28"/>
  <c r="M29"/>
  <c r="M30"/>
  <c r="M31"/>
  <c r="M32"/>
  <c r="M33"/>
  <c r="M34"/>
  <c r="M35"/>
  <c r="M36"/>
  <c r="M37"/>
  <c r="M38"/>
  <c r="M39"/>
  <c r="M40"/>
  <c r="M41"/>
  <c r="M42"/>
  <c r="M43"/>
  <c r="M44"/>
  <c r="M45"/>
  <c r="M46"/>
  <c r="M47"/>
  <c r="M48"/>
  <c r="M49"/>
  <c r="M50"/>
  <c r="M3"/>
  <c r="N3"/>
  <c r="N4"/>
  <c r="N5"/>
  <c r="N6"/>
  <c r="N7"/>
  <c r="N8"/>
  <c r="N9"/>
  <c r="N10"/>
  <c r="N11"/>
  <c r="N12"/>
  <c r="N13"/>
  <c r="N14"/>
  <c r="N15"/>
  <c r="N16"/>
  <c r="N17"/>
  <c r="N18"/>
  <c r="N19"/>
  <c r="N20"/>
  <c r="N21"/>
  <c r="N22"/>
  <c r="N23"/>
  <c r="N24"/>
  <c r="N25"/>
  <c r="N26"/>
  <c r="N27"/>
  <c r="N28"/>
  <c r="N29"/>
  <c r="N30"/>
  <c r="N31"/>
  <c r="N32"/>
  <c r="N33"/>
  <c r="N34"/>
  <c r="N35"/>
  <c r="N36"/>
  <c r="N37"/>
  <c r="N38"/>
  <c r="N39"/>
  <c r="N40"/>
  <c r="N41"/>
  <c r="N42"/>
  <c r="N43"/>
  <c r="N44"/>
  <c r="N45"/>
  <c r="N46"/>
  <c r="N47"/>
  <c r="N48"/>
  <c r="N49"/>
  <c r="N50"/>
  <c r="R4" l="1"/>
  <c r="AG3" i="1" l="1"/>
  <c r="R3" i="5" l="1"/>
  <c r="L50" l="1"/>
  <c r="L49"/>
  <c r="L48"/>
  <c r="L47"/>
  <c r="L46"/>
  <c r="L45"/>
  <c r="L44"/>
  <c r="L43"/>
  <c r="L42"/>
  <c r="L41"/>
  <c r="L40"/>
  <c r="L39"/>
  <c r="L38"/>
  <c r="L37"/>
  <c r="L36"/>
  <c r="L35"/>
  <c r="L34"/>
  <c r="L33"/>
  <c r="L32"/>
  <c r="L31"/>
  <c r="L30"/>
  <c r="L29"/>
  <c r="L28"/>
  <c r="L27"/>
  <c r="L26"/>
  <c r="L25"/>
  <c r="L24"/>
  <c r="L23"/>
  <c r="L22"/>
  <c r="L21"/>
  <c r="L20"/>
  <c r="L19"/>
  <c r="L18"/>
  <c r="L17"/>
  <c r="L16"/>
  <c r="L15"/>
  <c r="L14"/>
  <c r="L13"/>
  <c r="L12"/>
  <c r="L11"/>
  <c r="L10"/>
  <c r="L9"/>
  <c r="L8"/>
  <c r="L7"/>
  <c r="L5"/>
  <c r="L4"/>
  <c r="L3"/>
  <c r="AF4" i="1"/>
  <c r="AF5"/>
  <c r="AF6"/>
  <c r="AF7"/>
  <c r="AF8"/>
  <c r="AF9"/>
  <c r="AF10"/>
  <c r="AF11"/>
  <c r="AF12"/>
  <c r="AF13"/>
  <c r="AF14"/>
  <c r="AF15"/>
  <c r="AF16"/>
  <c r="AF17"/>
  <c r="AF18"/>
  <c r="AF19"/>
  <c r="AF20"/>
  <c r="AF21"/>
  <c r="AF22"/>
  <c r="AF24"/>
  <c r="AF25"/>
  <c r="AF26"/>
  <c r="AF27"/>
  <c r="AF28"/>
  <c r="AF29"/>
  <c r="AF30"/>
  <c r="AF31"/>
  <c r="AF32"/>
  <c r="AF33"/>
  <c r="AF34"/>
  <c r="AF35"/>
  <c r="AF36"/>
  <c r="AF37"/>
  <c r="AF38"/>
  <c r="AF39"/>
  <c r="AF40"/>
  <c r="AF41"/>
  <c r="AF42"/>
  <c r="AF43"/>
  <c r="AF44"/>
  <c r="AF45"/>
  <c r="AF46"/>
  <c r="AF47"/>
  <c r="AF48"/>
  <c r="AF49"/>
  <c r="AF50"/>
  <c r="AF3"/>
  <c r="C73" i="15" l="1"/>
  <c r="O21" i="5"/>
  <c r="P21"/>
  <c r="Q21"/>
  <c r="R21"/>
  <c r="AG4" i="1"/>
  <c r="AG5"/>
  <c r="AH5" s="1"/>
  <c r="AG6"/>
  <c r="AG7"/>
  <c r="AG8"/>
  <c r="AG9"/>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48"/>
  <c r="AG49"/>
  <c r="AG50"/>
  <c r="AI4"/>
  <c r="AI5"/>
  <c r="AI6"/>
  <c r="AI7"/>
  <c r="AI8"/>
  <c r="AI9"/>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I48"/>
  <c r="AI49"/>
  <c r="AI50"/>
  <c r="AI3"/>
  <c r="AH19" l="1"/>
  <c r="AH54"/>
  <c r="AH58"/>
  <c r="AH62"/>
  <c r="AH66"/>
  <c r="AH70"/>
  <c r="AH74"/>
  <c r="AH78"/>
  <c r="AH82"/>
  <c r="AH86"/>
  <c r="AH90"/>
  <c r="AH94"/>
  <c r="AH98"/>
  <c r="AH102"/>
  <c r="AH106"/>
  <c r="AH110"/>
  <c r="AH114"/>
  <c r="AH118"/>
  <c r="AH122"/>
  <c r="AH126"/>
  <c r="AH130"/>
  <c r="AH134"/>
  <c r="AH138"/>
  <c r="AH142"/>
  <c r="AH146"/>
  <c r="AH150"/>
  <c r="AH154"/>
  <c r="AH53"/>
  <c r="AH57"/>
  <c r="AH61"/>
  <c r="AH65"/>
  <c r="AH69"/>
  <c r="AH73"/>
  <c r="AH77"/>
  <c r="AH81"/>
  <c r="AH85"/>
  <c r="AH89"/>
  <c r="AH93"/>
  <c r="AH97"/>
  <c r="AH101"/>
  <c r="AH105"/>
  <c r="AH109"/>
  <c r="AH113"/>
  <c r="AH117"/>
  <c r="AH121"/>
  <c r="AH125"/>
  <c r="AH129"/>
  <c r="AH133"/>
  <c r="AH137"/>
  <c r="AH141"/>
  <c r="AH145"/>
  <c r="AH149"/>
  <c r="AH153"/>
  <c r="AH52"/>
  <c r="AH56"/>
  <c r="AH60"/>
  <c r="AH64"/>
  <c r="AH68"/>
  <c r="AH72"/>
  <c r="AH76"/>
  <c r="AH80"/>
  <c r="AH84"/>
  <c r="AH88"/>
  <c r="AH92"/>
  <c r="AH96"/>
  <c r="AH100"/>
  <c r="AH104"/>
  <c r="AH108"/>
  <c r="AH112"/>
  <c r="AH116"/>
  <c r="AH120"/>
  <c r="AH124"/>
  <c r="AH128"/>
  <c r="AH132"/>
  <c r="AH136"/>
  <c r="AH140"/>
  <c r="AH144"/>
  <c r="AH148"/>
  <c r="AH152"/>
  <c r="AH51"/>
  <c r="AH55"/>
  <c r="AH59"/>
  <c r="AH63"/>
  <c r="AH67"/>
  <c r="AH71"/>
  <c r="AH75"/>
  <c r="AH79"/>
  <c r="AH83"/>
  <c r="AH87"/>
  <c r="AH91"/>
  <c r="AH95"/>
  <c r="AH99"/>
  <c r="AH103"/>
  <c r="AH107"/>
  <c r="AH111"/>
  <c r="AH115"/>
  <c r="AH119"/>
  <c r="AH123"/>
  <c r="AH127"/>
  <c r="AH131"/>
  <c r="AH135"/>
  <c r="AH139"/>
  <c r="AH143"/>
  <c r="AH147"/>
  <c r="AH151"/>
  <c r="AH17"/>
  <c r="AH15"/>
  <c r="AH14"/>
  <c r="AH6"/>
  <c r="AH18"/>
  <c r="AH16"/>
  <c r="AH24"/>
  <c r="AH20"/>
  <c r="AH23"/>
  <c r="AH25"/>
  <c r="AH11"/>
  <c r="AH13"/>
  <c r="AH10"/>
  <c r="AH22"/>
  <c r="AH9"/>
  <c r="AH21"/>
  <c r="AH7"/>
  <c r="AH8"/>
  <c r="AH12"/>
  <c r="Q3" i="5"/>
  <c r="P4"/>
  <c r="P5"/>
  <c r="P6"/>
  <c r="P7"/>
  <c r="P8"/>
  <c r="P9"/>
  <c r="P10"/>
  <c r="P11"/>
  <c r="P12"/>
  <c r="P13"/>
  <c r="P14"/>
  <c r="P15"/>
  <c r="P16"/>
  <c r="P17"/>
  <c r="P18"/>
  <c r="P19"/>
  <c r="P20"/>
  <c r="P22"/>
  <c r="P23"/>
  <c r="P24"/>
  <c r="P25"/>
  <c r="P26"/>
  <c r="P27"/>
  <c r="P28"/>
  <c r="P29"/>
  <c r="P30"/>
  <c r="P31"/>
  <c r="P32"/>
  <c r="P33"/>
  <c r="P34"/>
  <c r="P35"/>
  <c r="P36"/>
  <c r="P37"/>
  <c r="P38"/>
  <c r="P39"/>
  <c r="P40"/>
  <c r="P41"/>
  <c r="P42"/>
  <c r="P43"/>
  <c r="P44"/>
  <c r="P45"/>
  <c r="P46"/>
  <c r="P47"/>
  <c r="P48"/>
  <c r="P49"/>
  <c r="P50"/>
  <c r="P3"/>
  <c r="O5"/>
  <c r="O6"/>
  <c r="O7"/>
  <c r="O8"/>
  <c r="O9"/>
  <c r="O10"/>
  <c r="O11"/>
  <c r="O12"/>
  <c r="O13"/>
  <c r="O14"/>
  <c r="O15"/>
  <c r="O16"/>
  <c r="O17"/>
  <c r="O18"/>
  <c r="O19"/>
  <c r="O20"/>
  <c r="O22"/>
  <c r="O23"/>
  <c r="O24"/>
  <c r="O25"/>
  <c r="O26"/>
  <c r="O27"/>
  <c r="O28"/>
  <c r="O29"/>
  <c r="O30"/>
  <c r="O31"/>
  <c r="O32"/>
  <c r="O33"/>
  <c r="O34"/>
  <c r="O35"/>
  <c r="O36"/>
  <c r="O37"/>
  <c r="O38"/>
  <c r="O39"/>
  <c r="O40"/>
  <c r="O41"/>
  <c r="O42"/>
  <c r="O43"/>
  <c r="O44"/>
  <c r="O45"/>
  <c r="O46"/>
  <c r="O47"/>
  <c r="O48"/>
  <c r="O49"/>
  <c r="O50"/>
  <c r="O3"/>
  <c r="Q4"/>
  <c r="Q5"/>
  <c r="Q6"/>
  <c r="Q7"/>
  <c r="Q8"/>
  <c r="Q9"/>
  <c r="Q10"/>
  <c r="Q11"/>
  <c r="Q16"/>
  <c r="Q17"/>
  <c r="Q18"/>
  <c r="Q19"/>
  <c r="Q20"/>
  <c r="Q22"/>
  <c r="Q23"/>
  <c r="Q24"/>
  <c r="Q25"/>
  <c r="Q26"/>
  <c r="Q27"/>
  <c r="Q28"/>
  <c r="Q29"/>
  <c r="Q30"/>
  <c r="Q31"/>
  <c r="Q32"/>
  <c r="Q33"/>
  <c r="Q34"/>
  <c r="Q35"/>
  <c r="Q36"/>
  <c r="Q37"/>
  <c r="Q38"/>
  <c r="Q39"/>
  <c r="Q40"/>
  <c r="Q41"/>
  <c r="Q42"/>
  <c r="Q43"/>
  <c r="Q44"/>
  <c r="Q45"/>
  <c r="Q46"/>
  <c r="Q47"/>
  <c r="Q48"/>
  <c r="Q49"/>
  <c r="Q50"/>
  <c r="AH50" i="1"/>
  <c r="AH26"/>
  <c r="AH27"/>
  <c r="AH28"/>
  <c r="AH29"/>
  <c r="AH30"/>
  <c r="AH31"/>
  <c r="AH32"/>
  <c r="AH33"/>
  <c r="AH34"/>
  <c r="AH35"/>
  <c r="AH36"/>
  <c r="AH37"/>
  <c r="AH38"/>
  <c r="AH39"/>
  <c r="AH40"/>
  <c r="AH41"/>
  <c r="AH42"/>
  <c r="AH43"/>
  <c r="AH44"/>
  <c r="AH45"/>
  <c r="AH46"/>
  <c r="AH47"/>
  <c r="AH48"/>
  <c r="AH49"/>
  <c r="C75" i="15" l="1"/>
  <c r="C74"/>
  <c r="AH4" i="1"/>
  <c r="AH3" l="1"/>
  <c r="R8" i="5"/>
  <c r="R9"/>
  <c r="R10"/>
  <c r="R11"/>
  <c r="R12"/>
  <c r="R13"/>
  <c r="R14"/>
  <c r="R15"/>
  <c r="R16"/>
  <c r="R17"/>
  <c r="R18"/>
  <c r="R19"/>
  <c r="R20"/>
  <c r="R22"/>
  <c r="R23"/>
  <c r="R24"/>
  <c r="R25"/>
  <c r="R26"/>
  <c r="R27"/>
  <c r="R28"/>
  <c r="R29"/>
  <c r="R30"/>
  <c r="R31"/>
  <c r="R32"/>
  <c r="R33"/>
  <c r="R34"/>
  <c r="R35"/>
  <c r="R36"/>
  <c r="R37"/>
  <c r="R38"/>
  <c r="R39"/>
  <c r="R40"/>
  <c r="R41"/>
  <c r="R42"/>
  <c r="R43"/>
  <c r="R44"/>
  <c r="R45"/>
  <c r="R46"/>
  <c r="R47"/>
  <c r="R48"/>
  <c r="R49"/>
  <c r="R50"/>
  <c r="J4" i="3"/>
  <c r="J5"/>
  <c r="J6"/>
  <c r="J7"/>
  <c r="J8"/>
  <c r="J9"/>
  <c r="J10"/>
  <c r="J11"/>
  <c r="J12"/>
  <c r="J13"/>
  <c r="J14"/>
  <c r="J15"/>
  <c r="J16"/>
  <c r="J17"/>
  <c r="J18"/>
  <c r="J19"/>
  <c r="J20"/>
  <c r="J21"/>
  <c r="J22"/>
  <c r="J23"/>
  <c r="J24"/>
  <c r="J25"/>
  <c r="J26"/>
  <c r="J27"/>
  <c r="J28"/>
  <c r="J29"/>
  <c r="J30"/>
  <c r="J31"/>
  <c r="J32"/>
  <c r="J33"/>
  <c r="J34"/>
  <c r="J35"/>
  <c r="J36"/>
  <c r="J37"/>
  <c r="J38"/>
  <c r="J39"/>
  <c r="J40"/>
</calcChain>
</file>

<file path=xl/sharedStrings.xml><?xml version="1.0" encoding="utf-8"?>
<sst xmlns="http://schemas.openxmlformats.org/spreadsheetml/2006/main" count="9503" uniqueCount="2599">
  <si>
    <t>Version 1.2</t>
  </si>
  <si>
    <t>SA-S-SD-14V1.2</t>
  </si>
  <si>
    <t>N/A</t>
  </si>
  <si>
    <t>SA-S-SD-14-V1.2</t>
  </si>
  <si>
    <t>4. Village*</t>
  </si>
  <si>
    <t>SUMMARY OF GROUP INFORMATION</t>
  </si>
  <si>
    <t>This tab provides a summary of the data as provided in the three green tabs: 1. Group member, 2. Certified crop and 3. Farm unit.</t>
  </si>
  <si>
    <t>First, add all information on tabs 1. Group Member, 2. Certified crop and 3.Farm Unit, then check for Red cells on column C below. 
The cell where the error is located can be found on column E.</t>
  </si>
  <si>
    <t>Completeness of sheet 1. Group Member</t>
  </si>
  <si>
    <t>Completeness of Certified Crop information</t>
  </si>
  <si>
    <t>Completeness of Farm Unit information</t>
  </si>
  <si>
    <t>Translations</t>
  </si>
  <si>
    <t>This tab provides a table from which the phrases used in data validation formulas are obtained.</t>
  </si>
  <si>
    <t>By changing these values, the results of formulas will change without the need of editting (complicated) formulas</t>
  </si>
  <si>
    <t>Please only change the second column  "Translated phrase".</t>
  </si>
  <si>
    <t>Phrases</t>
  </si>
  <si>
    <t>(edit only this column)</t>
  </si>
  <si>
    <t>Original English phrase</t>
  </si>
  <si>
    <t>Translated phrase</t>
  </si>
  <si>
    <t xml:space="preserve">Not applicable. </t>
  </si>
  <si>
    <t xml:space="preserve">No duplicates present. </t>
  </si>
  <si>
    <t>Location of the first duplicate</t>
  </si>
  <si>
    <t>Location of the first blank cell</t>
  </si>
  <si>
    <t>No blank cells present.</t>
  </si>
  <si>
    <t>All cells are numbers</t>
  </si>
  <si>
    <t>Location of the first non-number cell</t>
  </si>
  <si>
    <t>All cells are either "Small farm" or "Large farm".</t>
  </si>
  <si>
    <t>All years are correct.</t>
  </si>
  <si>
    <t>Location of the invalid year.</t>
  </si>
  <si>
    <t>Location of the invalid size.</t>
  </si>
  <si>
    <t>All sizes are correct.</t>
  </si>
  <si>
    <t>All values are correct.</t>
  </si>
  <si>
    <t>Location of the invalid value.</t>
  </si>
  <si>
    <t>Every Internal Group Member ID is present.</t>
  </si>
  <si>
    <t>Location of the missing Internal Group Member ID.</t>
  </si>
  <si>
    <t>All combinations of crops and variety are valid.</t>
  </si>
  <si>
    <t>Location of the invalid crop and variety combination.</t>
  </si>
  <si>
    <t>All coordinates have at least 4 decimals.</t>
  </si>
  <si>
    <t>Açaí</t>
  </si>
  <si>
    <t>RA</t>
  </si>
  <si>
    <t>UEBT/RA</t>
  </si>
  <si>
    <t>Ajwain</t>
  </si>
  <si>
    <t>Aloe vera</t>
  </si>
  <si>
    <t>Aronia</t>
  </si>
  <si>
    <t>Arracacha</t>
  </si>
  <si>
    <t>Asafoetida</t>
  </si>
  <si>
    <t>Ashwagandha</t>
  </si>
  <si>
    <t>Cavendish</t>
  </si>
  <si>
    <t>Baobab</t>
  </si>
  <si>
    <t>Bluet</t>
  </si>
  <si>
    <t>Boldo</t>
  </si>
  <si>
    <t>Cassia</t>
  </si>
  <si>
    <t>Centella</t>
  </si>
  <si>
    <t>Chayote, chocho, christophine</t>
  </si>
  <si>
    <t>Citron</t>
  </si>
  <si>
    <t>Arabica</t>
  </si>
  <si>
    <t>Robusta</t>
  </si>
  <si>
    <t xml:space="preserve">Copoazú </t>
  </si>
  <si>
    <t>Cumin</t>
  </si>
  <si>
    <t xml:space="preserve">Cupuaçu </t>
  </si>
  <si>
    <t>Curcuma</t>
  </si>
  <si>
    <t>Endive</t>
  </si>
  <si>
    <t>Erica</t>
  </si>
  <si>
    <t>Eucalyptus</t>
  </si>
  <si>
    <t>Ginkgo</t>
  </si>
  <si>
    <t>Ginseng</t>
  </si>
  <si>
    <t>Guarana</t>
  </si>
  <si>
    <t>Helichrysum</t>
  </si>
  <si>
    <t>Hibiscus</t>
  </si>
  <si>
    <t>Honeybush</t>
  </si>
  <si>
    <t>Kiwi</t>
  </si>
  <si>
    <t>Lapacho</t>
  </si>
  <si>
    <t>Loquat</t>
  </si>
  <si>
    <t>Lotus</t>
  </si>
  <si>
    <t>Macadamia</t>
  </si>
  <si>
    <t>Mizuna</t>
  </si>
  <si>
    <t>Moringa</t>
  </si>
  <si>
    <t>Nasturtium</t>
  </si>
  <si>
    <t>Nectarine</t>
  </si>
  <si>
    <t>Olive</t>
  </si>
  <si>
    <t>Paprika</t>
  </si>
  <si>
    <t>Patchouli</t>
  </si>
  <si>
    <t>Pawpaw</t>
  </si>
  <si>
    <t>Plantain</t>
  </si>
  <si>
    <t>Psyllium</t>
  </si>
  <si>
    <t>Radicchio</t>
  </si>
  <si>
    <t>Rooibos</t>
  </si>
  <si>
    <t>Rose</t>
  </si>
  <si>
    <t>Sassafras</t>
  </si>
  <si>
    <t>Stevia</t>
  </si>
  <si>
    <t>Tamarillo</t>
  </si>
  <si>
    <t>Tangerine</t>
  </si>
  <si>
    <t>Terminalia</t>
  </si>
  <si>
    <t>Tulsi</t>
  </si>
  <si>
    <t>Vasaka</t>
  </si>
  <si>
    <t>Wasabi</t>
  </si>
  <si>
    <t>Yam</t>
  </si>
  <si>
    <t>* </t>
  </si>
  <si>
    <t>** </t>
  </si>
  <si>
    <t>Exploitation agricole ou membre du groupe</t>
  </si>
  <si>
    <t>1. Identifiant interne d’exploitation agricole*</t>
  </si>
  <si>
    <t>2. Identifiant national d’exploitation agricole**</t>
  </si>
  <si>
    <t>3. Identifiant interne d’exploitation agricole*</t>
  </si>
  <si>
    <t>5. Ville</t>
  </si>
  <si>
    <t>6. District/État/Province*</t>
  </si>
  <si>
    <t>7. Région d’inspection interne</t>
  </si>
  <si>
    <t>8. Superficie totale de l’exploitation agricole (ha)*</t>
  </si>
  <si>
    <t>9. Type d’exploitation agricole*</t>
  </si>
  <si>
    <t>10. Nombre d’unités agricoles*</t>
  </si>
  <si>
    <t>11. Première année de certification RA*</t>
  </si>
  <si>
    <t>EXPLOITATION AGRICOLE</t>
  </si>
  <si>
    <t>12. Prénom*</t>
  </si>
  <si>
    <t>13. Nom*</t>
  </si>
  <si>
    <t>14. Numéro de téléphone**</t>
  </si>
  <si>
    <t>15. Numéro d’identification national**</t>
  </si>
  <si>
    <t>16. Genre*</t>
  </si>
  <si>
    <t>17. Année de naissance*</t>
  </si>
  <si>
    <t>18. Taille du ménage*</t>
  </si>
  <si>
    <t>OPÉRATEUR DE L’EXPLOITATION AGRICOLE</t>
  </si>
  <si>
    <t>19. Nom</t>
  </si>
  <si>
    <t>20. Nom</t>
  </si>
  <si>
    <t>21. Numéro de téléphone</t>
  </si>
  <si>
    <t>22. Numéro d’identification national</t>
  </si>
  <si>
    <t>23. Genre</t>
  </si>
  <si>
    <t>PROPRIÉTAIRE DE L’EXPLOITATION AGRICOLE (si différent de l’OPÉRATEUR DE L’EXPLOITATION AGRICOLE) S’il y a plusieurs propriétaires, mentionner le propriétaire principal **</t>
  </si>
  <si>
    <t>24. Nombre de travailleurs permanents*</t>
  </si>
  <si>
    <t>25. Estimation du nombre de travailleurs temporaires par an*</t>
  </si>
  <si>
    <t>TRAVAILLEURS PAR MEMBRE DU GROUPE</t>
  </si>
  <si>
    <t>26. Nom de l’inspecteur interne*</t>
  </si>
  <si>
    <t>27. Année de l’inspection interne*</t>
  </si>
  <si>
    <t>28. Mois de l’inspection interne*</t>
  </si>
  <si>
    <t>29. Jour de l’inspection interne*</t>
  </si>
  <si>
    <t>DONNÉES D’INSPECTION INTERNE</t>
  </si>
  <si>
    <t>1. Identifiant interne de membre du groupe présent sur la feuille 2. Produit agricole certifié</t>
  </si>
  <si>
    <t>1. Identifiant interne de membre du groupe présent sur la feuille 3. Unité agricole</t>
  </si>
  <si>
    <t>Nom des membres du groupe</t>
  </si>
  <si>
    <t>Date d’inspection interne</t>
  </si>
  <si>
    <t>Nbre d’inspections internes effectuées ce jour-là par cet inspecteur</t>
  </si>
  <si>
    <t>Nbre total de travailleurs (si temporaire = 1 mois)</t>
  </si>
  <si>
    <t>Validation automatique des</t>
  </si>
  <si>
    <t xml:space="preserve"> données,</t>
  </si>
  <si>
    <t xml:space="preserve"> ne pas compléter</t>
  </si>
  <si>
    <t>Si vous souhaitez ajouter d’autres colonnes, veuillez les ajouter après AH</t>
  </si>
  <si>
    <t>2. Produit agricole certifié*</t>
  </si>
  <si>
    <t>3. Variété**</t>
  </si>
  <si>
    <t>4. Superficie des produits agricoles certifiés * 
(ha)</t>
  </si>
  <si>
    <t>5. Estimation totale de la récolte de l’année en cours* 
(en kg ou en tiges de fleurs)</t>
  </si>
  <si>
    <t>6. Récolte totale de l’année précédente* 
(en kg ou en tiges de fleurs)</t>
  </si>
  <si>
    <t>7. Volume vendu/livré au groupe l’année précédente *
(en kg ou en tiges de fleurs)</t>
  </si>
  <si>
    <t>8. Volume vendu/livré au groupe les 2 années précédentes **
(en kg ou en tiges de fleurs)</t>
  </si>
  <si>
    <t>9. Volume vendu/livré au groupe les 3 années précédentes **
(en kg ou en tiges de fleurs)</t>
  </si>
  <si>
    <t>CULTURE CERTIFIÉE ET DONNÉES DE VOLUME</t>
  </si>
  <si>
    <t>1. Identifiant interne de l’exploitation agricole présent sur la feuille 1. Membre du groupe</t>
  </si>
  <si>
    <t>2. Produit agricole certifié et 3. La combinaison de variétés est présente sur la liste des produits agricoles de la feuille.</t>
  </si>
  <si>
    <t>Le volume vendu est supérieur à la récolte totale</t>
  </si>
  <si>
    <t>Croissance de la récolte</t>
  </si>
  <si>
    <t>Croissance du volume des ventes</t>
  </si>
  <si>
    <t>Rendement 
estimé/ha</t>
  </si>
  <si>
    <t>Rendement/ha
de l’année précédente</t>
  </si>
  <si>
    <t>Superficie certifiée moins la superficie totale de l’exploitation</t>
  </si>
  <si>
    <t>Membre du groupe</t>
  </si>
  <si>
    <t>2. Identifiant d’unité agricole*</t>
  </si>
  <si>
    <t>3. Superficie de l’unité agricole (ha)*</t>
  </si>
  <si>
    <t>4. Latitude (format DD)**</t>
  </si>
  <si>
    <t>5. Longitude (format DD)**</t>
  </si>
  <si>
    <t>INFORMATIONS SUR LES UNITÉS AGRICOLES DE CHAQUE EXPLOITATION AGRICOLE</t>
  </si>
  <si>
    <t>Vérification de la latitude</t>
  </si>
  <si>
    <t>Vérification de la longitude</t>
  </si>
  <si>
    <t>S’agit-il de la plus grande unité agricole</t>
  </si>
  <si>
    <t>Validation automatique des données, ne pas compléter</t>
  </si>
  <si>
    <t>Si vous souhaitez ajouter d’autres colonnes, veuillez les ajouter après J</t>
  </si>
  <si>
    <t>Non applicable.</t>
  </si>
  <si>
    <t>Il n’y a aucun doublon.</t>
  </si>
  <si>
    <t>Emplacement du premier doublon.</t>
  </si>
  <si>
    <t>Emplacement de la première cellule vide.</t>
  </si>
  <si>
    <t>Il n’y a aucune cellule vide.</t>
  </si>
  <si>
    <t>Toutes les cellules sont des nombres</t>
  </si>
  <si>
    <t>Emplacement de la première cellule non numérique</t>
  </si>
  <si>
    <t>Toutes les cellules sont soit « Petite exploitation agricole » soit « Grande exploitation agricole ».</t>
  </si>
  <si>
    <t>Toutes les années sont correctes.</t>
  </si>
  <si>
    <t>Emplacement de l’année invalide.</t>
  </si>
  <si>
    <t>Emplacement de la taille invalide.</t>
  </si>
  <si>
    <t>Toutes les tailles sont correctes.</t>
  </si>
  <si>
    <t>Toutes les valeurs sont correctes.</t>
  </si>
  <si>
    <t>Emplacement de la valeur invalide.</t>
  </si>
  <si>
    <t>Chaque identifiant interne de membre du groupe est présent.</t>
  </si>
  <si>
    <t>Emplacement de l’identifiant interne de membre de groupe manquant.</t>
  </si>
  <si>
    <t>Toutes les combinaisons de produits agricoles et de variétés sont valides.</t>
  </si>
  <si>
    <t>Emplacement de la combinaison de produits agricoles et de variétés invalide.</t>
  </si>
  <si>
    <t>Toutes les coordonnées ont au moins 4 décimales.</t>
  </si>
  <si>
    <t xml:space="preserve">Colonne ou validation </t>
  </si>
  <si>
    <t>Critères</t>
  </si>
  <si>
    <t>État</t>
  </si>
  <si>
    <t>Méthode de calcul</t>
  </si>
  <si>
    <t>Localisation de l’erreur</t>
  </si>
  <si>
    <t>Hyperlien (cliquable)</t>
  </si>
  <si>
    <t>1. Identifiant interne de membre du groupe*</t>
  </si>
  <si>
    <t>Doit correspondre au nombre de membres du groupe dans votre système de gestion interne demandant une certification.</t>
  </si>
  <si>
    <t>Chaque 1. Identifiant interne de membre du groupe doit être unique.</t>
  </si>
  <si>
    <t>Obligatoire, si disponible. Si l’exploitation agricole dispose d’un identifiant national d’exploitation agricole, présentez cette information comme une exigence obligatoire. Sinon, remplissez la case « Non disponible ». Chaque 2. Identifiant national d’exploitation agricole devrait également comporter un 1. Identifiant interne de membre du groupe</t>
  </si>
  <si>
    <t>Champ obligatoire, aucun champ vide n’est autorisé. Un 3. Identifiant interne d’exploitation agricole unique doit être présent pour chaque 1. Identifiant interne de membre du groupe.</t>
  </si>
  <si>
    <t>Chaque 3. Identifiant interne d’exploitation agricole doit être unique.</t>
  </si>
  <si>
    <t>Champ obligatoire, aucun champ vide n’est autorisé. Un 4.Village doit être présent pour chaque 1. Identifiant interne de membre du groupe.</t>
  </si>
  <si>
    <t>Aucune, les champs vides sont autorisés</t>
  </si>
  <si>
    <t>Champ obligatoire, aucun champ vide n’est autorisé. Un 6. District/État/Province doit être présent pour chaque 1. Identifiant interne de membre du groupe.</t>
  </si>
  <si>
    <t>Champ obligatoire, aucun champ vide n’est autorisé. La 8. Superficie totale de l’exploitation (ha) doit être indiquée pour chaque 1. Identifiant interne de membre du groupe.</t>
  </si>
  <si>
    <t>Chaque valeur doit être un nombre.</t>
  </si>
  <si>
    <t>Champ obligatoire, aucun champ vide n’est autorisé. Le 9. Type d’exploitation agricole doit être présent pour chaque 1. Identifiant interne de membre du groupe.</t>
  </si>
  <si>
    <t>Chaque valeur doit indiquer soit « Petite exploitation agricole » soit « Grande exploitation agricole »</t>
  </si>
  <si>
    <t>Champ obligatoire, aucun champ vide n’est autorisé. Le 10. Nombre d’unités agricoles* doit être présent pour chaque 1. Identifiant interne de membre du groupe.</t>
  </si>
  <si>
    <t>Champ obligatoire, aucun champ vide n’est autorisé. La 11. Première année de certification* RA doit être présente pour chaque 1. Identifiant interne de membre du groupe.</t>
  </si>
  <si>
    <t>Chaque valeur doit être un nombre, égal ou supérieur à 2021</t>
  </si>
  <si>
    <t>Champ obligatoire, aucun champ vide n’est autorisé. Un 12. Nom* doit être présent pour chaque 1. Identifiant interne de membre du groupe.</t>
  </si>
  <si>
    <t>Champ obligatoire, aucun champ vide n’est autorisé. Un 13. Nom de famille* doit être présent pour chaque 1. Identifiant interne de membre du groupe.</t>
  </si>
  <si>
    <t>Obligatoire si disponible, sinon, indiquez « Non disponible ». Les champs vides ne sont pas autorisés.</t>
  </si>
  <si>
    <t>Champ obligatoire, aucun champ vide n’est autorisé. Un 16. Sexe (masculin/féminin/autre) doit être présent pour chaque 1. Identifiant interne de membre du groupe.</t>
  </si>
  <si>
    <t>Champ obligatoire, aucun champ vide n’est autorisé. Une 17. Année de naissance* doit être présente pour chaque 1. Identifiant interne de membre du groupe.</t>
  </si>
  <si>
    <t>La valeur de 17. L’année de naissance* doit être comprise entre 1900 et 2021.</t>
  </si>
  <si>
    <t>Champ obligatoire, aucun champ vide n’est autorisé. Une 18. Taille du ménage* doit être présente pour chaque 1. Identifiant interne de membre du groupe.</t>
  </si>
  <si>
    <t>La valeur de 18. La taille du ménage* doit être d’au moins 1.</t>
  </si>
  <si>
    <t>Aucun, les champs vides sont autorisés</t>
  </si>
  <si>
    <t>Champ obligatoire, aucun champ vide n’est autorisé. Un 24. Nombre de travailleurs permanents* doit être présent pour chaque 1. Identifiant interne de membre du groupe.</t>
  </si>
  <si>
    <t>La valeur du 24. Nombre de travailleurs permanents* doit être d’au moins 0.</t>
  </si>
  <si>
    <t>Champ obligatoire, aucun champ vide n’est autorisé. Un 25. Nombre estimé de travailleurs temporaires par an* doit être présent pour chaque 1. Identifiant interne de membre du groupe.</t>
  </si>
  <si>
    <t>La valeur du 25. Nombre estimé de travailleurs temporaires par an* doit être d’au moins 0.</t>
  </si>
  <si>
    <t>Champ obligatoire, aucun champ vide n’est autorisé. Un 26. Nom d’inspecteur interne* doit être présent pour chaque 1. Identifiant interne de membre du groupe.</t>
  </si>
  <si>
    <t>Champ obligatoire, aucun champ vide n’est autorisé. Une 27. Année d’inspection interne* doit être présente pour chaque 1. Identifiant interne de membre du groupe.</t>
  </si>
  <si>
    <t>La valeur de 27. L’année d’inspection interne* doit être au moins 2021.</t>
  </si>
  <si>
    <t>Champ obligatoire, aucun champ vide n’est autorisé. Un 28. Mois d’inspection interne* doit être présent pour chaque 1. Identifiant interne de membre du groupe.</t>
  </si>
  <si>
    <t>La valeur du 28. Mois d’inspection interne* doit être compris entre 1 et 12</t>
  </si>
  <si>
    <t>Champ obligatoire, aucun champ vide n’est autorisé. Un 29. Jour de l’inspection interne* doit être présent pour chaque 1. Identifiant interne de membre du groupe.</t>
  </si>
  <si>
    <t>La valeur du 29. Jour de l’inspection interne* doit être comprise entre le 1 et le 31</t>
  </si>
  <si>
    <t xml:space="preserve">Comparez le nombre d’identifiants à votre propre compte. </t>
  </si>
  <si>
    <t xml:space="preserve">Le nombre d’identifiants uniques doit correspondre au nombre d’identifiants. </t>
  </si>
  <si>
    <t>Pour chaque 1. Identifiant de membre du groupe interne, cette cellule doit être remplie (ne peut être vide)</t>
  </si>
  <si>
    <t>Vérifiez si toutes les valeurs sont des nombres.</t>
  </si>
  <si>
    <t>Vérifiez si toutes les valeurs indiquent « Petite exploitation agricole » ou « Grande exploitation agricole ».</t>
  </si>
  <si>
    <t>Vérifiez si la valeur est &gt;2020.</t>
  </si>
  <si>
    <t>Vérifiez si 1899&lt;valeur&lt;2022.</t>
  </si>
  <si>
    <t>Vérifiez si la valeur est &gt; 0.</t>
  </si>
  <si>
    <t>Vérifiez si la valeur &gt;= 0.</t>
  </si>
  <si>
    <t>Vérifiez si la valeur est &gt; 2020.</t>
  </si>
  <si>
    <t>Vérifiez si 0 &lt; valeur &lt; 13</t>
  </si>
  <si>
    <t>Vérifiez si 0 &lt; valeur &lt; 32</t>
  </si>
  <si>
    <t>Colonne ou validation</t>
  </si>
  <si>
    <t>1. Identifiant interne de membre du groupe *
(à partir de l’onglet Membre du groupe)</t>
  </si>
  <si>
    <t>Nombre de récoltes estimées déclarées pour tous les produits agricoles</t>
  </si>
  <si>
    <t>Superficie totale des cultures certifiées</t>
  </si>
  <si>
    <t>Estimation de la récolte totale (tous produits agricoles confondus)</t>
  </si>
  <si>
    <t>Estimation de la récolte totale de l’année précédente (tous produits agricoles confondus)</t>
  </si>
  <si>
    <t>Volume total vendu/livré au groupe l’année précédente (tous produits agricoles confondus)</t>
  </si>
  <si>
    <t>Nombre d’erreurs dans le volume récolté par rapport au volume vendu</t>
  </si>
  <si>
    <t>Rendement moyen estimé/hectare (tous produits agricoles confondus)</t>
  </si>
  <si>
    <t>Rendement moyen/hectare de l’année précédente (tous produits agricoles confondus)</t>
  </si>
  <si>
    <t xml:space="preserve">Chaque 1. Identifiant interne de membre du groupe doit être présent sur la feuille 1. Membre du groupe. </t>
  </si>
  <si>
    <t>Chaque 1. Identifiant interne de membre du groupe de la feuille 1. Membre du groupe doit être présent au moins une fois sur la feuille 2. Produit agricole certifié.</t>
  </si>
  <si>
    <t>Champ obligatoire, aucun champ vide n’est autorisé. Un 2. Produit agricole certifié* doit être présent pour chaque 1. Identifiant interne de membre du groupe dans la liste.</t>
  </si>
  <si>
    <t>Chaque combinaison de 2. Produit agricole certifié et de 3. Variété doit être présente dans la feuille de la liste des produits agricoles.</t>
  </si>
  <si>
    <t>Champ obligatoire, aucun champ vide n’est autorisé. La 4. Superficie de produits agricoles certifiés doit être présente pour chaque 1. Identifiant interne de membre du groupe dans la liste.</t>
  </si>
  <si>
    <t>Champ obligatoire, aucun champ vide n’est autorisé. 5. L’estimation de la récolte totale de l’année en cours* doit être présente pour chaque 1. Identifiant interne de membre du groupe dans la liste.</t>
  </si>
  <si>
    <t>Champ obligatoire, aucun champ vide n’est autorisé. La 6. Récolte totale de l’année précédente doit être présente pour chaque 1. Identifiant interne de membre du groupe dans la liste.</t>
  </si>
  <si>
    <t>Champ obligatoire, aucun champ vide n’est autorisé. Le 7. Volume vendu/livré au groupe l’année précédente doit être présent pour chaque 1. Identifiant interne de membre du groupe dans la liste.</t>
  </si>
  <si>
    <t>Comparez avec vos propres notes.</t>
  </si>
  <si>
    <t>Vérifiez si la valeur est supérieure à 0.</t>
  </si>
  <si>
    <t>Les identifiants internes de membre du groupe de la feuille 2. Produit agricole certifié sont comparés à ceux de la feuille 1. Membre du groupe</t>
  </si>
  <si>
    <t>Les identifiants internes de membre du groupe de la feuille 1. Membre du groupe sont comparés à ceux de la feuille 2. Produit agricole certifié.</t>
  </si>
  <si>
    <t>Comparez la combinaison des produits agricoles et des variétés par rapport à la liste des produits agricoles.</t>
  </si>
  <si>
    <t>Décompte de 5. L’estimation totale de la récolte de l’année en cours</t>
  </si>
  <si>
    <t>Somme de la colonne 3. Superficie des cultures certifiées</t>
  </si>
  <si>
    <t>Somme de 5. L’estimation totale de la récolte de l’année en cours (en ou en tiges de fleurs)</t>
  </si>
  <si>
    <t>Somme de 6. La récolte totale de l’année précédente (en kg ou en tiges de fleurs)</t>
  </si>
  <si>
    <t>Somme du 7. Volume vendu/livré au groupe l’année précédente (en kg ou en tiges de fleurs)</t>
  </si>
  <si>
    <t>Décompte de « ! » en Volume vendu supérieur à la récolte totale</t>
  </si>
  <si>
    <t>Moyenne de la colonne M : rendement estimé par hectare</t>
  </si>
  <si>
    <t>Moyenne de la colonne N : rendement par hectare de l’année précédente</t>
  </si>
  <si>
    <t>Total des unités de terrain des membres du groupe déclarées</t>
  </si>
  <si>
    <t>Nombre de membres du groupe pour lesquels des unités agricoles ont été déclarées</t>
  </si>
  <si>
    <t>Superficie totale de l’unité agricole</t>
  </si>
  <si>
    <t>Nombre d’unités agricoles les plus grandes</t>
  </si>
  <si>
    <t>Nombre de coordonnées fournies</t>
  </si>
  <si>
    <t>Si une latitude est indiquée, elle doit comporter au moins 4 décimales.</t>
  </si>
  <si>
    <t>Si une latitude est indiquée, elle doit être comprise entre -180 et 180</t>
  </si>
  <si>
    <t>La latitude est indiquée pour toutes les plus grandes exploitations agricoles.</t>
  </si>
  <si>
    <t>Si une longitude est indiquée, elle doit comporter au moins 4 décimales.</t>
  </si>
  <si>
    <t>Si une longitude est indiquée, elle doit être comprise entre -90 et 90.</t>
  </si>
  <si>
    <t>Les identifiants internes de membre du groupe de la feuille 3. Les unités agricoles sont comparées à celles de la feuille 1. Membre du groupe</t>
  </si>
  <si>
    <t xml:space="preserve">Pour les entrées de nombres, le nombre de décimales est pris en compte. </t>
  </si>
  <si>
    <t>Si un nombre est présent, il doit être -180&lt;=valeur&lt;=180</t>
  </si>
  <si>
    <t>Si une exploitation agricole est la plus grande exploitation, la latitude doit être un nombre.</t>
  </si>
  <si>
    <t>Si un nombre est présent, il doit être -90&lt;=valeur&lt;=90</t>
  </si>
  <si>
    <t>Si une exploitation agricole est la plus grande exploitation, la longitude doit être un nombre.</t>
  </si>
  <si>
    <t>Décompte de 3. Superficie de l’unité agricole</t>
  </si>
  <si>
    <t>Calcul du nombre d’identifiants uniques des membres du groupe dans la colonne 1. Identifiant interne de membre du groupe</t>
  </si>
  <si>
    <t>Somme du 3. Superficie de l’unité agricole</t>
  </si>
  <si>
    <t>Décompte du nombre de plus grandes unités dans la colonne H. S’agit-il de la plus grande unité agricole ?</t>
  </si>
  <si>
    <t>Le décompte minimum entre la colonne 4. Latitude et le décompte de la colonne 5. Longitude</t>
  </si>
  <si>
    <t>Annexe S13</t>
  </si>
  <si>
    <t>Le registre des membres du groupe</t>
  </si>
  <si>
    <t>Décharge de responsabilité concernant la traduction </t>
  </si>
  <si>
    <t>Pour toute question liée à la signification précise des informations contenues dans la traduction, veuillez vous référer à la version officielle en anglais pour en obtenir la clarification. Toute divergence ou différence dans la signification engendrée par la traduction n’est pas contraignante et n’a pas d’effet sur la certification ou les audits.</t>
  </si>
  <si>
    <t>Plus d’informations ? </t>
  </si>
  <si>
    <r>
      <rPr>
        <sz val="10"/>
        <color theme="1"/>
        <rFont val="Century Gothic"/>
        <family val="2"/>
      </rPr>
      <t>Pour plus d’informations sur Rainforest Alliance, consultez le site </t>
    </r>
    <r>
      <rPr>
        <sz val="10"/>
        <color rgb="FF1A52C2"/>
        <rFont val="Century Gothic"/>
        <family val="2"/>
      </rPr>
      <t xml:space="preserve">www.rainforest-alliance.org, </t>
    </r>
    <r>
      <rPr>
        <sz val="10"/>
        <color theme="1"/>
        <rFont val="Century Gothic"/>
        <family val="2"/>
      </rPr>
      <t>contactez </t>
    </r>
    <r>
      <rPr>
        <sz val="10"/>
        <color rgb="FF1A52C2"/>
        <rFont val="Century Gothic"/>
        <family val="2"/>
      </rPr>
      <t xml:space="preserve">info@ra.org, </t>
    </r>
    <r>
      <rPr>
        <sz val="10"/>
        <color theme="1"/>
        <rFont val="Century Gothic"/>
        <family val="2"/>
      </rPr>
      <t>ou le bureau de Rainforest Alliance à Amsterdam, De Ruijterkade 6, 1013AA Amsterdam, Pays-Bas.</t>
    </r>
  </si>
  <si>
    <t>Nom du document :</t>
  </si>
  <si>
    <t>Code du document :</t>
  </si>
  <si>
    <t>Version :</t>
  </si>
  <si>
    <t>Annexe S13 : Le registre des membres du groupe</t>
  </si>
  <si>
    <t>Date de la première publication :</t>
  </si>
  <si>
    <t>Date de révision :</t>
  </si>
  <si>
    <t>Valable à partir du :</t>
  </si>
  <si>
    <t>Expire le :</t>
  </si>
  <si>
    <t>31 janvier 2020</t>
  </si>
  <si>
    <t>1er juillet 2021</t>
  </si>
  <si>
    <t>Jusqu’à nouvel ordre</t>
  </si>
  <si>
    <t xml:space="preserve">Élaboré par : </t>
  </si>
  <si>
    <t xml:space="preserve">Approuvé par : </t>
  </si>
  <si>
    <t>Département Standards and Assurance de Rainforest Alliance</t>
  </si>
  <si>
    <t xml:space="preserve">Directeur des Standards and Assurance </t>
  </si>
  <si>
    <t>Lié à :</t>
  </si>
  <si>
    <r>
      <rPr>
        <sz val="9"/>
        <color theme="1"/>
        <rFont val="Century Gothic"/>
        <family val="2"/>
      </rPr>
      <t>SA-S-SD-1-V1.1 Norme pour l’agriculture durable 2020 de Rainforest Alliance, Exigences pour les exploitations agricoles 
SA-G-SD-19-V1 Document d’orientation P :</t>
    </r>
    <r>
      <rPr>
        <sz val="9"/>
        <color theme="1"/>
        <rFont val="Century Gothic"/>
        <family val="2"/>
      </rPr>
      <t xml:space="preserve"> </t>
    </r>
    <r>
      <rPr>
        <sz val="9"/>
        <color theme="1"/>
        <rFont val="Century Gothic"/>
        <family val="2"/>
      </rPr>
      <t>Comment utiliser le Registre des membres du groupe</t>
    </r>
    <r>
      <rPr>
        <sz val="10"/>
        <color theme="1"/>
        <rFont val="Century Gothic"/>
        <family val="2"/>
      </rPr>
      <t xml:space="preserve">
		</t>
    </r>
  </si>
  <si>
    <t>Remplace :</t>
  </si>
  <si>
    <t xml:space="preserve">Applicable aux : </t>
  </si>
  <si>
    <t>Titulaires de certificats d’exploitations agricoles</t>
  </si>
  <si>
    <t>Pays/Région :</t>
  </si>
  <si>
    <t>Tous</t>
  </si>
  <si>
    <t>Produit agricole :</t>
  </si>
  <si>
    <t xml:space="preserve">Type de certification : </t>
  </si>
  <si>
    <t>Tous les produits agricoles du champ d’application du système de certification de Rainforest Alliance ; veuillez voir les Règles pour la certification.</t>
  </si>
  <si>
    <t>Certification de l’exploitation</t>
  </si>
  <si>
    <t>© 2021 Rainforest Alliance. Tous les droits sont réservés.</t>
  </si>
  <si>
    <r>
      <rPr>
        <sz val="10"/>
        <color theme="1"/>
        <rFont val="Century Gothic"/>
        <family val="2"/>
      </rPr>
      <t xml:space="preserve">Les annexes sont </t>
    </r>
    <r>
      <rPr>
        <u/>
        <sz val="10"/>
        <color theme="1"/>
        <rFont val="Century Gothic"/>
        <family val="2"/>
      </rPr>
      <t>contraignantes</t>
    </r>
    <r>
      <rPr>
        <sz val="10"/>
        <color theme="1"/>
        <rFont val="Century Gothic"/>
        <family val="2"/>
      </rPr>
      <t xml:space="preserve"> et doivent être respectées pour la certification.</t>
    </r>
    <r>
      <rPr>
        <sz val="10"/>
        <color theme="1"/>
        <rFont val="Century Gothic"/>
        <family val="2"/>
      </rPr>
      <t xml:space="preserve"> </t>
    </r>
  </si>
  <si>
    <t>Toute utilisation de ce contenu, y compris la reproduction, la modification, la distribution ou la republication, sans le consentement écrit préalable de Rainforest Alliance est strictement interdite.</t>
  </si>
  <si>
    <t>Nom final du produit agricole</t>
  </si>
  <si>
    <t>Variété finale</t>
  </si>
  <si>
    <t>Champ d’application de la certification (si aucun autre produit agricole RA)</t>
  </si>
  <si>
    <t>Catégorie</t>
  </si>
  <si>
    <t>Fruits</t>
  </si>
  <si>
    <t>Acérola</t>
  </si>
  <si>
    <t>Herbes et épices</t>
  </si>
  <si>
    <t>Feuilles d’acérola</t>
  </si>
  <si>
    <t>Luzerne</t>
  </si>
  <si>
    <t>Légumes</t>
  </si>
  <si>
    <t>Piment de la Jamaïque</t>
  </si>
  <si>
    <t>Amande</t>
  </si>
  <si>
    <t>Fruits à coques</t>
  </si>
  <si>
    <t>Angélique</t>
  </si>
  <si>
    <t>Anis</t>
  </si>
  <si>
    <t>Fleurs de pommier</t>
  </si>
  <si>
    <t>Pomme</t>
  </si>
  <si>
    <t>Feuilles de pommier</t>
  </si>
  <si>
    <t>Fleurs d’abricotier</t>
  </si>
  <si>
    <t>Abricot</t>
  </si>
  <si>
    <t>Feuilles d’abricotier</t>
  </si>
  <si>
    <t>Artichaut</t>
  </si>
  <si>
    <t>Roquette</t>
  </si>
  <si>
    <t>Frêne</t>
  </si>
  <si>
    <t>Asperge</t>
  </si>
  <si>
    <t>Avocat</t>
  </si>
  <si>
    <t>Aubépine</t>
  </si>
  <si>
    <t>Banane</t>
  </si>
  <si>
    <t>Bananes latundan</t>
  </si>
  <si>
    <t>Bananes Lady Finger</t>
  </si>
  <si>
    <t>Bananes rouges</t>
  </si>
  <si>
    <t>Berbéris</t>
  </si>
  <si>
    <t>Basilic</t>
  </si>
  <si>
    <t>Laurier</t>
  </si>
  <si>
    <t>Haricot</t>
  </si>
  <si>
    <t>Betterave, betterave rouge</t>
  </si>
  <si>
    <t>Poivrons</t>
  </si>
  <si>
    <t>Bergamote</t>
  </si>
  <si>
    <t>Pimpinelle</t>
  </si>
  <si>
    <t>Myrtille</t>
  </si>
  <si>
    <t>Courge amère</t>
  </si>
  <si>
    <t>Cassis</t>
  </si>
  <si>
    <t>Feuilles de cassissier</t>
  </si>
  <si>
    <t>Poivre noir</t>
  </si>
  <si>
    <t>UEBT/RA ou RA</t>
  </si>
  <si>
    <t>Mûre</t>
  </si>
  <si>
    <t>Feuilles de mûrier</t>
  </si>
  <si>
    <t>Chardon bénit</t>
  </si>
  <si>
    <t>Feuilles de myrtillier</t>
  </si>
  <si>
    <t>Bourrache</t>
  </si>
  <si>
    <t>Mûre de Boysen</t>
  </si>
  <si>
    <t>Feuilles de mûrier de Boysen</t>
  </si>
  <si>
    <t>Brocoli</t>
  </si>
  <si>
    <t>Chou de Bruxelles</t>
  </si>
  <si>
    <t>Pimprenelle</t>
  </si>
  <si>
    <t>Courge Buttercup</t>
  </si>
  <si>
    <t>Chou</t>
  </si>
  <si>
    <t>Calebasse</t>
  </si>
  <si>
    <t>Souci</t>
  </si>
  <si>
    <t>Carvi</t>
  </si>
  <si>
    <t>Cardamome</t>
  </si>
  <si>
    <t>Œillet</t>
  </si>
  <si>
    <t>Caroube</t>
  </si>
  <si>
    <t>Carotte</t>
  </si>
  <si>
    <t>Noix de cajou</t>
  </si>
  <si>
    <t>Manioc</t>
  </si>
  <si>
    <t>Cataire</t>
  </si>
  <si>
    <t>Chou-fleur</t>
  </si>
  <si>
    <t>Poivre de Cayenne</t>
  </si>
  <si>
    <t>Céleri</t>
  </si>
  <si>
    <t>Camomille</t>
  </si>
  <si>
    <t>Blette</t>
  </si>
  <si>
    <t>Grande mauve</t>
  </si>
  <si>
    <t>Fleurs de cerisier</t>
  </si>
  <si>
    <t>Cerise</t>
  </si>
  <si>
    <t>Feuilles de cerisier</t>
  </si>
  <si>
    <t>Cerfeuil</t>
  </si>
  <si>
    <t>Chicorée</t>
  </si>
  <si>
    <t>Courge de Siam</t>
  </si>
  <si>
    <t>Piment fort</t>
  </si>
  <si>
    <t>Piment</t>
  </si>
  <si>
    <t>Piment habanero</t>
  </si>
  <si>
    <t>Piment jalapeno</t>
  </si>
  <si>
    <t>Piment poblano</t>
  </si>
  <si>
    <t>Piment serrano</t>
  </si>
  <si>
    <t>Ciboulette</t>
  </si>
  <si>
    <t>Cerfeuil musqué</t>
  </si>
  <si>
    <t>Coriandre</t>
  </si>
  <si>
    <t>Cannelle</t>
  </si>
  <si>
    <t>Cédrat</t>
  </si>
  <si>
    <t>Citronnelle</t>
  </si>
  <si>
    <t>Fleurs d’agrumes</t>
  </si>
  <si>
    <t>Agrume</t>
  </si>
  <si>
    <t>Feuilles d’agrumes</t>
  </si>
  <si>
    <t>Clémentine</t>
  </si>
  <si>
    <t>Clou de girofle</t>
  </si>
  <si>
    <t>Cacao</t>
  </si>
  <si>
    <t>Noix de coco</t>
  </si>
  <si>
    <t>Café</t>
  </si>
  <si>
    <t>Colatier</t>
  </si>
  <si>
    <t>Molène commune</t>
  </si>
  <si>
    <t>Échinacée</t>
  </si>
  <si>
    <t>Maïs</t>
  </si>
  <si>
    <t>Bleuet</t>
  </si>
  <si>
    <t>Menthe-coq</t>
  </si>
  <si>
    <t>Primevère</t>
  </si>
  <si>
    <t>Fleurs de pommier sauvage</t>
  </si>
  <si>
    <t>Pomme sauvage</t>
  </si>
  <si>
    <t>Feuilles de pommier sauvage</t>
  </si>
  <si>
    <t>Canneberge</t>
  </si>
  <si>
    <t>Feuilles de canneberge</t>
  </si>
  <si>
    <t>Menthe poivrée</t>
  </si>
  <si>
    <t>Concombre</t>
  </si>
  <si>
    <t>Curuba</t>
  </si>
  <si>
    <t>Menthe frisée</t>
  </si>
  <si>
    <t>Feuille de curry</t>
  </si>
  <si>
    <t>Marguerite</t>
  </si>
  <si>
    <t>Pissenlit</t>
  </si>
  <si>
    <t>Sureau hièble</t>
  </si>
  <si>
    <t>Fleurs de dattier</t>
  </si>
  <si>
    <t>Datte</t>
  </si>
  <si>
    <t>Feuilles de dattier</t>
  </si>
  <si>
    <t>Aneth</t>
  </si>
  <si>
    <t>Feuilles de fruit du dragon</t>
  </si>
  <si>
    <t>Aubergine</t>
  </si>
  <si>
    <t>Sureau</t>
  </si>
  <si>
    <t>Fleur de sureau</t>
  </si>
  <si>
    <t>Fenouil</t>
  </si>
  <si>
    <t>Fenugrec</t>
  </si>
  <si>
    <t>Herbes &amp; épices</t>
  </si>
  <si>
    <t>Fougères</t>
  </si>
  <si>
    <t>Fleurs</t>
  </si>
  <si>
    <t>Grande camomille</t>
  </si>
  <si>
    <t>Figue</t>
  </si>
  <si>
    <t>Gumbo filé/Sassafras</t>
  </si>
  <si>
    <t>Galanga</t>
  </si>
  <si>
    <t>Ail</t>
  </si>
  <si>
    <t>Gingembre</t>
  </si>
  <si>
    <t>Rhubarbe dorée</t>
  </si>
  <si>
    <t>Groseille à maquereau</t>
  </si>
  <si>
    <t>Feuilles de groseillier à maquereau</t>
  </si>
  <si>
    <t>Graines de paradis</t>
  </si>
  <si>
    <t>Grenadille</t>
  </si>
  <si>
    <t>Fleurs de pamplemoussier</t>
  </si>
  <si>
    <t>Pamplemousse</t>
  </si>
  <si>
    <t>Feuilles de pamplemoussier</t>
  </si>
  <si>
    <t>Raisins</t>
  </si>
  <si>
    <t>Haricot vert</t>
  </si>
  <si>
    <t>Goyave</t>
  </si>
  <si>
    <t>Feuilles de goyavier</t>
  </si>
  <si>
    <t>Noisette</t>
  </si>
  <si>
    <t>Cœur de palmier</t>
  </si>
  <si>
    <t>Bruyère</t>
  </si>
  <si>
    <t>Chanvre</t>
  </si>
  <si>
    <t>Houblon</t>
  </si>
  <si>
    <t>Marrube</t>
  </si>
  <si>
    <t>Raifort</t>
  </si>
  <si>
    <t>Hysope</t>
  </si>
  <si>
    <t>Groseille à maquereau indienne</t>
  </si>
  <si>
    <t>Jacquier</t>
  </si>
  <si>
    <t>Jasmin</t>
  </si>
  <si>
    <t>Cirouelle/Mombin</t>
  </si>
  <si>
    <t>Baie de genévrier</t>
  </si>
  <si>
    <t>Chou frisé</t>
  </si>
  <si>
    <t>Alchémille</t>
  </si>
  <si>
    <t>Lavande</t>
  </si>
  <si>
    <t>Fougère à feuilles de cuir</t>
  </si>
  <si>
    <t>Poireau</t>
  </si>
  <si>
    <t>Mélisse</t>
  </si>
  <si>
    <t>Fleurs de citronnier</t>
  </si>
  <si>
    <t>Feuilles de citronnier</t>
  </si>
  <si>
    <t>Myrte citronnée</t>
  </si>
  <si>
    <t>Verveine citronnée</t>
  </si>
  <si>
    <t>Laitue</t>
  </si>
  <si>
    <t>Réglisse</t>
  </si>
  <si>
    <t>Fleurs de citronnier vert</t>
  </si>
  <si>
    <t>Citron vert</t>
  </si>
  <si>
    <t>Feuilles de citronnier vert</t>
  </si>
  <si>
    <t>Tilleul</t>
  </si>
  <si>
    <t>Livèche</t>
  </si>
  <si>
    <t>Fleurs de litchi</t>
  </si>
  <si>
    <t>Litchi</t>
  </si>
  <si>
    <t>Feuilles de litchi</t>
  </si>
  <si>
    <t>Muscadier</t>
  </si>
  <si>
    <t>Mauve</t>
  </si>
  <si>
    <t>Fleurs de mandarinier</t>
  </si>
  <si>
    <t>Mandarine</t>
  </si>
  <si>
    <t>Feuilles de mandarinier</t>
  </si>
  <si>
    <t>Mangue</t>
  </si>
  <si>
    <t>Feuilles de manguier</t>
  </si>
  <si>
    <t>Mangoustan</t>
  </si>
  <si>
    <t>Marjolaine</t>
  </si>
  <si>
    <t>Guimauve</t>
  </si>
  <si>
    <t>Reine des prés</t>
  </si>
  <si>
    <t>Fleurs de melon</t>
  </si>
  <si>
    <t>Melon</t>
  </si>
  <si>
    <t>Cantaloup</t>
  </si>
  <si>
    <t>Melon Honeydrew</t>
  </si>
  <si>
    <t>Feuilles de melon</t>
  </si>
  <si>
    <t>Menthe</t>
  </si>
  <si>
    <t>Moutarde</t>
  </si>
  <si>
    <t>Feuilles de moutarde</t>
  </si>
  <si>
    <t>Neem</t>
  </si>
  <si>
    <t>Feuilles de neem</t>
  </si>
  <si>
    <t>Grande ortie</t>
  </si>
  <si>
    <t>Nigelle</t>
  </si>
  <si>
    <t>Noix de muscade</t>
  </si>
  <si>
    <t>Avoine</t>
  </si>
  <si>
    <t>Palmier à huile</t>
  </si>
  <si>
    <t>Oignon</t>
  </si>
  <si>
    <t>Fleurs d’oranger</t>
  </si>
  <si>
    <t>Orange</t>
  </si>
  <si>
    <t>Feuilles d’oranger</t>
  </si>
  <si>
    <t>Origan</t>
  </si>
  <si>
    <t>Autres bananes</t>
  </si>
  <si>
    <t>Spécifié par le TC</t>
  </si>
  <si>
    <t>Autres fruits frais</t>
  </si>
  <si>
    <t>Autres légumes frais</t>
  </si>
  <si>
    <t>Autres herbes et épices</t>
  </si>
  <si>
    <t>Autres noix et graines</t>
  </si>
  <si>
    <t>Autres plantes ornementales</t>
  </si>
  <si>
    <t>Orthosiphon</t>
  </si>
  <si>
    <t>Feuilles de palmier</t>
  </si>
  <si>
    <t>Papaye</t>
  </si>
  <si>
    <t>Persil</t>
  </si>
  <si>
    <t>Fleurs de fruit de la passion</t>
  </si>
  <si>
    <t>Feuilles de fruit de la passion</t>
  </si>
  <si>
    <t>Fruit de la passion/Gulupa</t>
  </si>
  <si>
    <t>Pois</t>
  </si>
  <si>
    <t>Pêche/Durazno</t>
  </si>
  <si>
    <t>Fleurs de pêcher</t>
  </si>
  <si>
    <t>Feuilles de pêcher</t>
  </si>
  <si>
    <t>Cacahuète</t>
  </si>
  <si>
    <t>Fleurs de poirier</t>
  </si>
  <si>
    <t>Poire</t>
  </si>
  <si>
    <t>Feuilles de poirier</t>
  </si>
  <si>
    <t>Noix de pécan</t>
  </si>
  <si>
    <t>Pivoine</t>
  </si>
  <si>
    <t>Physalis/Groseille du Cap</t>
  </si>
  <si>
    <t>Piment d’ornement</t>
  </si>
  <si>
    <t>Ananas</t>
  </si>
  <si>
    <t>Feuilles d’ananas</t>
  </si>
  <si>
    <t>Pistache</t>
  </si>
  <si>
    <t>Pitaya/Fruit du dragon</t>
  </si>
  <si>
    <t>Fleurs de prunier</t>
  </si>
  <si>
    <t>Prune</t>
  </si>
  <si>
    <t>Feuilles de prunier</t>
  </si>
  <si>
    <t>Grenade</t>
  </si>
  <si>
    <t>Feuilles de grenadier</t>
  </si>
  <si>
    <t>Pavot</t>
  </si>
  <si>
    <t>Pomme de terre</t>
  </si>
  <si>
    <t>Citrouille</t>
  </si>
  <si>
    <t>Radis</t>
  </si>
  <si>
    <t>Ramboutan</t>
  </si>
  <si>
    <t>Framboise</t>
  </si>
  <si>
    <t>Feuilles de framboisier</t>
  </si>
  <si>
    <t>Groseille</t>
  </si>
  <si>
    <t>Feuilles de groseillier</t>
  </si>
  <si>
    <t>Rhubarbe</t>
  </si>
  <si>
    <t>Cynorhodon</t>
  </si>
  <si>
    <t>Romarin</t>
  </si>
  <si>
    <t>Rue des jardins</t>
  </si>
  <si>
    <t>Carthame</t>
  </si>
  <si>
    <t>Safran</t>
  </si>
  <si>
    <t>Sauge</t>
  </si>
  <si>
    <t>Sauge salvia</t>
  </si>
  <si>
    <t>Sapote/Chikoo</t>
  </si>
  <si>
    <t>Salsepareille</t>
  </si>
  <si>
    <t>Sarriette</t>
  </si>
  <si>
    <t>Tilleul argenté</t>
  </si>
  <si>
    <t>Oseille</t>
  </si>
  <si>
    <t>Corossol</t>
  </si>
  <si>
    <t>Menthe verte</t>
  </si>
  <si>
    <t>Épices</t>
  </si>
  <si>
    <t>Épinard</t>
  </si>
  <si>
    <t>Courge</t>
  </si>
  <si>
    <t>Millepertuis</t>
  </si>
  <si>
    <t>Anis étoilé</t>
  </si>
  <si>
    <t>Ortie piquante</t>
  </si>
  <si>
    <t>Tilleur de roche</t>
  </si>
  <si>
    <t>Fleurs de fraisier</t>
  </si>
  <si>
    <t>Fraise</t>
  </si>
  <si>
    <t>Feuilles de fraisier</t>
  </si>
  <si>
    <t>Tournesol</t>
  </si>
  <si>
    <t>Mûre sucrée</t>
  </si>
  <si>
    <t>Fenouil doux</t>
  </si>
  <si>
    <t>Grenadille sucrée</t>
  </si>
  <si>
    <t>Oignon doux</t>
  </si>
  <si>
    <t>Patate douce</t>
  </si>
  <si>
    <t>Racine de taïga</t>
  </si>
  <si>
    <t>Fleurs de tangerine</t>
  </si>
  <si>
    <t>Feuilles de tangerine</t>
  </si>
  <si>
    <t>Taro/Kalo</t>
  </si>
  <si>
    <t>Estragon</t>
  </si>
  <si>
    <t>Théier</t>
  </si>
  <si>
    <t>Thé</t>
  </si>
  <si>
    <t>Thym</t>
  </si>
  <si>
    <t>Tomate</t>
  </si>
  <si>
    <t>Valériane</t>
  </si>
  <si>
    <t>Vanille</t>
  </si>
  <si>
    <t>Feuillages divers</t>
  </si>
  <si>
    <t>Verveine</t>
  </si>
  <si>
    <t>Cresson de fontaine</t>
  </si>
  <si>
    <t>Poivre blanc</t>
  </si>
  <si>
    <t>Fleurs de poirier sauvage</t>
  </si>
  <si>
    <t>Poire sauvage</t>
  </si>
  <si>
    <t>Feuilles de poirier sauvage</t>
  </si>
  <si>
    <t>Écorce de saule</t>
  </si>
  <si>
    <t>Épilobe</t>
  </si>
  <si>
    <t>Millefeuille</t>
  </si>
  <si>
    <t>Yerba maté</t>
  </si>
  <si>
    <t>Comment utiliser ce document</t>
  </si>
  <si>
    <t>1) Veuillez compléter les informations des onglets 1. Membre du groupe, 2. Produit agricole certifié et 3. Unité agricole. Les cellules dont les titres sont en gris foncé sont automatiquement calculées ;</t>
  </si>
  <si>
    <t>2) Des cellules formatées sont utilisées et de courtes explications/instructions peuvent s’afficher en cliquant sur l’en-tête des colonnes. Ces notes peuvent vous aider à remplir les cellules ;</t>
  </si>
  <si>
    <t>3) Lorsque vous remplissez le modèle, veuillez utiliser les « options de collage » lorsque vous copiez-collez des données de votre propre base de données. Si vous avez besoin de plus de lignes, le fichier les générera automatiquement ;</t>
  </si>
  <si>
    <t>4) Une colonne de validations vide (rubriques en vert foncé) signifie que les données sont correctes ;</t>
  </si>
  <si>
    <t>5) Après avoir rempli les onglets, veuillez vous rendre sur l’onglet Tableau de bord pour vérifier les erreurs ou les fautes de frappe ;</t>
  </si>
  <si>
    <t>6) En cas de doute, vous pouvez toujours contacter l’équipe Customer Success par courrier électronique à l’adresse cs@ra.org</t>
  </si>
  <si>
    <t>Merci et bonne chance !</t>
  </si>
  <si>
    <t>Symboles et abréviations utilisés</t>
  </si>
  <si>
    <t>TC : Titulaire de certificat</t>
  </si>
  <si>
    <t>OC : Organisme de certification</t>
  </si>
  <si>
    <t>PCRA : Plateforme de certification de Rainforest Alliance</t>
  </si>
  <si>
    <t>RMG : Registre des membres du groupe</t>
  </si>
  <si>
    <t>ID : Identifiant</t>
  </si>
  <si>
    <t>SGI : Système de Gestion Interne</t>
  </si>
  <si>
    <r>
      <rPr>
        <b/>
        <sz val="11"/>
        <color theme="1"/>
        <rFont val="Century Gothic"/>
        <family val="2"/>
      </rPr>
      <t>SYMBOLES UTILISÉS DANS LES COLONNES</t>
    </r>
    <r>
      <rPr>
        <b/>
        <sz val="11"/>
        <color rgb="FF000000"/>
        <rFont val="Calibri"/>
        <family val="2"/>
      </rPr>
      <t> </t>
    </r>
  </si>
  <si>
    <r>
      <rPr>
        <b/>
        <sz val="11"/>
        <color theme="1"/>
        <rFont val="Century Gothic"/>
        <family val="2"/>
      </rPr>
      <t>SIGNIFICATION</t>
    </r>
    <r>
      <rPr>
        <b/>
        <sz val="11"/>
        <color rgb="FF000000"/>
        <rFont val="Calibri"/>
        <family val="2"/>
      </rPr>
      <t> </t>
    </r>
  </si>
  <si>
    <r>
      <rPr>
        <b/>
        <sz val="11"/>
        <color theme="1"/>
        <rFont val="Century Gothic"/>
        <family val="2"/>
      </rPr>
      <t>VALIDATION</t>
    </r>
    <r>
      <rPr>
        <b/>
        <sz val="11"/>
        <color rgb="FF000000"/>
        <rFont val="Calibri"/>
        <family val="2"/>
      </rPr>
      <t> </t>
    </r>
  </si>
  <si>
    <t>Si applicable </t>
  </si>
  <si>
    <t>Les cellules vides sont autorisées </t>
  </si>
  <si>
    <t>Champ obligatoire  </t>
  </si>
  <si>
    <t>Aucune cellule vide n’est autorisée </t>
  </si>
  <si>
    <t>Champ obligatoire si disponible </t>
  </si>
  <si>
    <t>Les cellules vides ne sont pas autorisées, mais la mention « non disponible » peut être utilisée </t>
  </si>
  <si>
    <t>GOZ 0001</t>
  </si>
  <si>
    <t>GOZON</t>
  </si>
  <si>
    <t>BANGOLO</t>
  </si>
  <si>
    <t>DES MONTAGNES</t>
  </si>
  <si>
    <t>GUEMON</t>
  </si>
  <si>
    <t>PETITE PLANTATION</t>
  </si>
  <si>
    <t>SORE</t>
  </si>
  <si>
    <t>DRISSA</t>
  </si>
  <si>
    <t>07 57 59 10 92</t>
  </si>
  <si>
    <t>M</t>
  </si>
  <si>
    <t>YAO KONAN DIEUDONNE</t>
  </si>
  <si>
    <t>GOZ 0002</t>
  </si>
  <si>
    <t>OUEDRAOGO</t>
  </si>
  <si>
    <t>ARSENE</t>
  </si>
  <si>
    <t>05 75 18 03 16</t>
  </si>
  <si>
    <t>BF384002001001036436</t>
  </si>
  <si>
    <t>GOZ 0003</t>
  </si>
  <si>
    <t>PABGILGUEM BANGBA</t>
  </si>
  <si>
    <t>MOUSSA</t>
  </si>
  <si>
    <t>07 79 46 38 71</t>
  </si>
  <si>
    <t>GOZ 0004</t>
  </si>
  <si>
    <t>KOUAME KOUAME</t>
  </si>
  <si>
    <t>PHOSTIN</t>
  </si>
  <si>
    <t>05 85 49 06 02</t>
  </si>
  <si>
    <t>GOZ 0005</t>
  </si>
  <si>
    <t>SORO</t>
  </si>
  <si>
    <t>NOUBOUTININ</t>
  </si>
  <si>
    <t>05 66 30 09 27</t>
  </si>
  <si>
    <t>CI000507071</t>
  </si>
  <si>
    <t>GOZ 0006</t>
  </si>
  <si>
    <t>PAGBABUEM</t>
  </si>
  <si>
    <t>IDRISSA</t>
  </si>
  <si>
    <t>05 45 07 75 14</t>
  </si>
  <si>
    <t>BF364002001001005127</t>
  </si>
  <si>
    <t>GOZ 0007</t>
  </si>
  <si>
    <t xml:space="preserve">GUIBLA </t>
  </si>
  <si>
    <t>LAURENT</t>
  </si>
  <si>
    <t>07 89 22 65 86</t>
  </si>
  <si>
    <t>BF34002001001029782</t>
  </si>
  <si>
    <t>GOZ 0008</t>
  </si>
  <si>
    <t xml:space="preserve">TOGBA </t>
  </si>
  <si>
    <t>PIERRE</t>
  </si>
  <si>
    <t>05 26 14 16 13</t>
  </si>
  <si>
    <t>C0097947660</t>
  </si>
  <si>
    <t>GOZ 0009</t>
  </si>
  <si>
    <t xml:space="preserve">TOKPA GONDOUE </t>
  </si>
  <si>
    <t>ALFRED</t>
  </si>
  <si>
    <t>05 54 99 46 52</t>
  </si>
  <si>
    <t>C0088354082</t>
  </si>
  <si>
    <t>GOZ 0010</t>
  </si>
  <si>
    <t>GUAIHOU</t>
  </si>
  <si>
    <t>MADELEINE</t>
  </si>
  <si>
    <t>05 84 99 95 13</t>
  </si>
  <si>
    <t>C0085392423</t>
  </si>
  <si>
    <t>F</t>
  </si>
  <si>
    <t>GOZ 0011</t>
  </si>
  <si>
    <t>BAH</t>
  </si>
  <si>
    <t>MALGUERITE</t>
  </si>
  <si>
    <t>07 49 43 84 22</t>
  </si>
  <si>
    <t>GOZ 0012</t>
  </si>
  <si>
    <t>KABRE SIKIETA</t>
  </si>
  <si>
    <t>EMIL</t>
  </si>
  <si>
    <t>07 49 65 94 02</t>
  </si>
  <si>
    <t>BF384003001001085244</t>
  </si>
  <si>
    <t>GOZ 0013</t>
  </si>
  <si>
    <t xml:space="preserve">KABRE OUIGOU </t>
  </si>
  <si>
    <t>MICHEL</t>
  </si>
  <si>
    <t>07 57 04 41 49</t>
  </si>
  <si>
    <t>GOZ 0014</t>
  </si>
  <si>
    <t>KINDO</t>
  </si>
  <si>
    <t>MOUSTAPHA</t>
  </si>
  <si>
    <t>07 49 57 50 57</t>
  </si>
  <si>
    <t>BF384002003001087163</t>
  </si>
  <si>
    <t>GOZ 0015</t>
  </si>
  <si>
    <t xml:space="preserve">KINDO </t>
  </si>
  <si>
    <t>ROULIATOU</t>
  </si>
  <si>
    <t>07 89 52 05 33</t>
  </si>
  <si>
    <t>BF384002001001021778</t>
  </si>
  <si>
    <t>GOZ 0016</t>
  </si>
  <si>
    <t>RAMATA</t>
  </si>
  <si>
    <t>07 47 02 82 12</t>
  </si>
  <si>
    <t>BF384002001001021777</t>
  </si>
  <si>
    <t>GOZ 0017</t>
  </si>
  <si>
    <t xml:space="preserve">SAWADOGO </t>
  </si>
  <si>
    <t>07 89 04 63 50</t>
  </si>
  <si>
    <t>GOZ 0018</t>
  </si>
  <si>
    <t>SAIDOU</t>
  </si>
  <si>
    <t>07 59 95 91 94</t>
  </si>
  <si>
    <t>GOZ 0019</t>
  </si>
  <si>
    <t>OUEDRAOGO SAMANDE</t>
  </si>
  <si>
    <t>GILBERT</t>
  </si>
  <si>
    <t>07 47 45 62 92</t>
  </si>
  <si>
    <t>GOZ 0020</t>
  </si>
  <si>
    <t>RAKISTABA</t>
  </si>
  <si>
    <t>YEMBI</t>
  </si>
  <si>
    <t>05 74 32 67 14</t>
  </si>
  <si>
    <t>BF3840020010010005135</t>
  </si>
  <si>
    <t>GOZ 0021</t>
  </si>
  <si>
    <t>SAMBIKETA</t>
  </si>
  <si>
    <t>07 77 19 18 97</t>
  </si>
  <si>
    <t>BF384003001001094936</t>
  </si>
  <si>
    <t>GOZ 0022</t>
  </si>
  <si>
    <t>SARAMBE</t>
  </si>
  <si>
    <t>SALIFOU</t>
  </si>
  <si>
    <t>07 47 23 28 86</t>
  </si>
  <si>
    <t>BF384003001001080667</t>
  </si>
  <si>
    <t>GOZ 0023</t>
  </si>
  <si>
    <t>ZONGO</t>
  </si>
  <si>
    <t>MOUMOUNI</t>
  </si>
  <si>
    <t>07 08 62 89N93</t>
  </si>
  <si>
    <t>BF384003001001096677</t>
  </si>
  <si>
    <t>GOZ 0024</t>
  </si>
  <si>
    <t>HIEN</t>
  </si>
  <si>
    <t>TILYETE</t>
  </si>
  <si>
    <t>07 77 02 39 32</t>
  </si>
  <si>
    <t>C0112693392</t>
  </si>
  <si>
    <t>GOZ 0025</t>
  </si>
  <si>
    <t>DAH</t>
  </si>
  <si>
    <t>DIENTCHILE</t>
  </si>
  <si>
    <t>07 08 99 98 60</t>
  </si>
  <si>
    <t>C0112666848</t>
  </si>
  <si>
    <t>GOZ 0026</t>
  </si>
  <si>
    <t>COMPAORE</t>
  </si>
  <si>
    <t>SAANGA</t>
  </si>
  <si>
    <t>07 79 46 58 16</t>
  </si>
  <si>
    <t>BF384003001001085221</t>
  </si>
  <si>
    <t>GOZ 0027</t>
  </si>
  <si>
    <t>EMMA</t>
  </si>
  <si>
    <t>07 09 97 7663</t>
  </si>
  <si>
    <t>BF384003001001096585</t>
  </si>
  <si>
    <t>GOZ 0028</t>
  </si>
  <si>
    <t xml:space="preserve">GABRIEL </t>
  </si>
  <si>
    <t>07 49 32 26 42</t>
  </si>
  <si>
    <t>GOZ 0029</t>
  </si>
  <si>
    <t>YEO</t>
  </si>
  <si>
    <t>SEKONHON</t>
  </si>
  <si>
    <t>07 49 36 97 86</t>
  </si>
  <si>
    <t>C0097880240</t>
  </si>
  <si>
    <t>GOZ 0030</t>
  </si>
  <si>
    <t>DJARRA</t>
  </si>
  <si>
    <t>05 54 68 18 65</t>
  </si>
  <si>
    <t>C0057944122</t>
  </si>
  <si>
    <t>GOZ 0031</t>
  </si>
  <si>
    <t>MADE HESSONGOU</t>
  </si>
  <si>
    <t>05 45 73 01 73</t>
  </si>
  <si>
    <t>GOZ 0032</t>
  </si>
  <si>
    <t>SEKONGO</t>
  </si>
  <si>
    <t>NANHOUA</t>
  </si>
  <si>
    <t>07 47 50 43 89</t>
  </si>
  <si>
    <t>C0071664079</t>
  </si>
  <si>
    <t>GOZ 0033</t>
  </si>
  <si>
    <t>SIBIRINAN NICODEME</t>
  </si>
  <si>
    <t>05 06 23 78 41</t>
  </si>
  <si>
    <t>C0112676009</t>
  </si>
  <si>
    <t>GOZ 0034</t>
  </si>
  <si>
    <t>YEHOU</t>
  </si>
  <si>
    <t>DEMISSONGUI</t>
  </si>
  <si>
    <t>05 95 42 55 68</t>
  </si>
  <si>
    <t>C0112346069</t>
  </si>
  <si>
    <t>GOZ 0035</t>
  </si>
  <si>
    <t xml:space="preserve">SABA </t>
  </si>
  <si>
    <t>OUANG0</t>
  </si>
  <si>
    <t>05 84 18 82 07</t>
  </si>
  <si>
    <t>GOZ 0036</t>
  </si>
  <si>
    <t>SABA</t>
  </si>
  <si>
    <t>RELWINDE</t>
  </si>
  <si>
    <t xml:space="preserve">07 49 1406 08 </t>
  </si>
  <si>
    <t>BF384002001001039073</t>
  </si>
  <si>
    <t>GOZ 0037</t>
  </si>
  <si>
    <t xml:space="preserve">ZORE </t>
  </si>
  <si>
    <t>07 47 58 34 36</t>
  </si>
  <si>
    <t>GOZ 0038</t>
  </si>
  <si>
    <t>ZOULADAOGO ADAMA</t>
  </si>
  <si>
    <t>05 94 25 65 56</t>
  </si>
  <si>
    <t>BF384002001001038440</t>
  </si>
  <si>
    <t>GOZ 0039</t>
  </si>
  <si>
    <t>FRANCOIS</t>
  </si>
  <si>
    <t>07 68 84 18 95</t>
  </si>
  <si>
    <t>GOZ 0040</t>
  </si>
  <si>
    <t xml:space="preserve">SABO </t>
  </si>
  <si>
    <t>SIBIREGMA</t>
  </si>
  <si>
    <t>05 74 47 05 37</t>
  </si>
  <si>
    <t>BF384002001001039074</t>
  </si>
  <si>
    <t>GOZ 0041</t>
  </si>
  <si>
    <t>RAGA</t>
  </si>
  <si>
    <t>05 76 00 13 71</t>
  </si>
  <si>
    <t>GOZ 0042</t>
  </si>
  <si>
    <t>SIBIRI ABDOULAYE</t>
  </si>
  <si>
    <t>05 84 60 08 00</t>
  </si>
  <si>
    <t>BF384002001001032848</t>
  </si>
  <si>
    <t>GOZ 0043</t>
  </si>
  <si>
    <t>KARZOUM</t>
  </si>
  <si>
    <t>07 97 40 46 49</t>
  </si>
  <si>
    <t>GOZ 0044</t>
  </si>
  <si>
    <t>05 76 50 16 90</t>
  </si>
  <si>
    <t>BF384002001001038441</t>
  </si>
  <si>
    <t>GOZ 0045</t>
  </si>
  <si>
    <t>MANDJIDE</t>
  </si>
  <si>
    <t>07 47 04 71 52</t>
  </si>
  <si>
    <t>C0090845984</t>
  </si>
  <si>
    <t>GOZ 0046</t>
  </si>
  <si>
    <t>LAMINE</t>
  </si>
  <si>
    <t>01 70 47 34 41</t>
  </si>
  <si>
    <t>GOZ 0047</t>
  </si>
  <si>
    <t>THEODORE</t>
  </si>
  <si>
    <t>07 79 17 09 43</t>
  </si>
  <si>
    <t>GOZ 0048</t>
  </si>
  <si>
    <t xml:space="preserve">DAH </t>
  </si>
  <si>
    <t>KEMPOHITE</t>
  </si>
  <si>
    <t>07 49 80 09 70</t>
  </si>
  <si>
    <t>C0099601472</t>
  </si>
  <si>
    <t>GOZ 0049</t>
  </si>
  <si>
    <t xml:space="preserve">ZERBO </t>
  </si>
  <si>
    <t>ISSAKA</t>
  </si>
  <si>
    <t>05 85 29 64 03</t>
  </si>
  <si>
    <t>GOZ 0050</t>
  </si>
  <si>
    <t>PERCOMA</t>
  </si>
  <si>
    <t>LASSO</t>
  </si>
  <si>
    <t>NON DISPONIBLE</t>
  </si>
  <si>
    <t>GOZ 0051</t>
  </si>
  <si>
    <t xml:space="preserve">DJENI </t>
  </si>
  <si>
    <t>NOUFOU</t>
  </si>
  <si>
    <t>07 57 18 65 67</t>
  </si>
  <si>
    <t>GOZ 0052</t>
  </si>
  <si>
    <t>PAGBELEM</t>
  </si>
  <si>
    <t>JOEL</t>
  </si>
  <si>
    <t>07 08 47 88 31</t>
  </si>
  <si>
    <t>GOZ 0053</t>
  </si>
  <si>
    <t>ALAIN</t>
  </si>
  <si>
    <t>07 07 18 15 30</t>
  </si>
  <si>
    <t>BF384003001001096599</t>
  </si>
  <si>
    <t>GOZ 0054</t>
  </si>
  <si>
    <t>PAGBELGUEM</t>
  </si>
  <si>
    <t>OUIBILA</t>
  </si>
  <si>
    <t>07 87 68 44 19</t>
  </si>
  <si>
    <t>BF384003001001108670</t>
  </si>
  <si>
    <t>GOZ 0055</t>
  </si>
  <si>
    <t>RAMDE</t>
  </si>
  <si>
    <t>KISWENDSIDA PIERRE</t>
  </si>
  <si>
    <t>05 66 64 09 00</t>
  </si>
  <si>
    <t>BF384003001001085309</t>
  </si>
  <si>
    <t>GOZ 0056</t>
  </si>
  <si>
    <t>KIENDREBEOGO</t>
  </si>
  <si>
    <t>SYLVAIN</t>
  </si>
  <si>
    <t>07 88 81 25 95</t>
  </si>
  <si>
    <t>GOZ 0057</t>
  </si>
  <si>
    <t>SOULEYMANE</t>
  </si>
  <si>
    <t>01 51 72 66 08</t>
  </si>
  <si>
    <t>BF384002001001038431</t>
  </si>
  <si>
    <t>GOZ 0058</t>
  </si>
  <si>
    <t>COULIBALY</t>
  </si>
  <si>
    <t>KIM</t>
  </si>
  <si>
    <t xml:space="preserve">05 45 92 79 67 </t>
  </si>
  <si>
    <t>C0084306930</t>
  </si>
  <si>
    <t>GOZ 0059</t>
  </si>
  <si>
    <t>POUSAGA RAPHAEL</t>
  </si>
  <si>
    <t>07 59 32 72 16</t>
  </si>
  <si>
    <t>BF384002001001030007</t>
  </si>
  <si>
    <t>GOZ 0060</t>
  </si>
  <si>
    <t>MAMADOU</t>
  </si>
  <si>
    <t>05 66 23 57 89</t>
  </si>
  <si>
    <t>C0089606780</t>
  </si>
  <si>
    <t>GOZ 0061</t>
  </si>
  <si>
    <t xml:space="preserve">SORO </t>
  </si>
  <si>
    <t>KOLOTIAHAFOLO</t>
  </si>
  <si>
    <t>07 87 81 30 56</t>
  </si>
  <si>
    <t>GOZ 0062</t>
  </si>
  <si>
    <t>07 77 80 77 03</t>
  </si>
  <si>
    <t>BF384003001001085333</t>
  </si>
  <si>
    <t>GOZ 0063</t>
  </si>
  <si>
    <t>TINDAOGO BOUREIMA</t>
  </si>
  <si>
    <t>07 58 18 59 22</t>
  </si>
  <si>
    <t>BF384002001003005487</t>
  </si>
  <si>
    <t>GOZ 0064</t>
  </si>
  <si>
    <t>ALI</t>
  </si>
  <si>
    <t>07 79 40 28 70</t>
  </si>
  <si>
    <t>BF384002001003006727</t>
  </si>
  <si>
    <t>GOZ 0065</t>
  </si>
  <si>
    <t>PINGRONOMA</t>
  </si>
  <si>
    <t>07 89 31 81 44</t>
  </si>
  <si>
    <t>GOZ 0066</t>
  </si>
  <si>
    <t>YOBI</t>
  </si>
  <si>
    <t>07 58 79 19 70</t>
  </si>
  <si>
    <t>BF384002001001038444</t>
  </si>
  <si>
    <t>GOZ 0067</t>
  </si>
  <si>
    <t>05 65 30 42 84</t>
  </si>
  <si>
    <t>GOZ 0068</t>
  </si>
  <si>
    <t>SANA</t>
  </si>
  <si>
    <t>ADAMA</t>
  </si>
  <si>
    <t>07 47 80 05 83</t>
  </si>
  <si>
    <t>BF384001001001201614</t>
  </si>
  <si>
    <t>GOZ 0069</t>
  </si>
  <si>
    <t>AMIDOU</t>
  </si>
  <si>
    <t>07 77 31 95 03</t>
  </si>
  <si>
    <t>BF384002001003005485</t>
  </si>
  <si>
    <t>GOZ 0070</t>
  </si>
  <si>
    <t>SAMA</t>
  </si>
  <si>
    <t>LASSANA</t>
  </si>
  <si>
    <t>07 57 68 43 80</t>
  </si>
  <si>
    <t>BF384001001001101813</t>
  </si>
  <si>
    <t>GOZ 0071</t>
  </si>
  <si>
    <t>YOUSSOUF</t>
  </si>
  <si>
    <t>05 66 08 03 09</t>
  </si>
  <si>
    <t>GOZ 0072</t>
  </si>
  <si>
    <t>GOZ 0078</t>
  </si>
  <si>
    <t>KAMBOU</t>
  </si>
  <si>
    <t>TCHENITE</t>
  </si>
  <si>
    <t>07 49 53 63 25</t>
  </si>
  <si>
    <t>C0075959252</t>
  </si>
  <si>
    <t>GOZ 0073</t>
  </si>
  <si>
    <t>RAKISTA</t>
  </si>
  <si>
    <t>SOUMAILA</t>
  </si>
  <si>
    <t>01 71 34 17 72</t>
  </si>
  <si>
    <t>GOZ 0074</t>
  </si>
  <si>
    <t>OUSMANE</t>
  </si>
  <si>
    <t>07 57 17 82 73</t>
  </si>
  <si>
    <t>GOZ 0075</t>
  </si>
  <si>
    <t>ZABRE</t>
  </si>
  <si>
    <t>07 57 17 94 30</t>
  </si>
  <si>
    <t>GOZ 0076</t>
  </si>
  <si>
    <t>NABI</t>
  </si>
  <si>
    <t>AUGUSTIN</t>
  </si>
  <si>
    <t>07 49 88 89 45</t>
  </si>
  <si>
    <t>GOZ 0077</t>
  </si>
  <si>
    <t>YAMBA</t>
  </si>
  <si>
    <t>07 08 41 64 04</t>
  </si>
  <si>
    <t>JOSEPH</t>
  </si>
  <si>
    <t>07 57 98 60B10</t>
  </si>
  <si>
    <t>GOZ 0079</t>
  </si>
  <si>
    <t>OUAOGABA</t>
  </si>
  <si>
    <t>07 89 85 52 55</t>
  </si>
  <si>
    <t>GOZ 0080</t>
  </si>
  <si>
    <t>MAURICE</t>
  </si>
  <si>
    <t>07 07 16 18 72</t>
  </si>
  <si>
    <t>GOZ 0081</t>
  </si>
  <si>
    <t>KONAN</t>
  </si>
  <si>
    <t>KOUAKOU FRANCIS</t>
  </si>
  <si>
    <t>05 05 44 91 77</t>
  </si>
  <si>
    <t>C0078538388</t>
  </si>
  <si>
    <t>GOZ 0082</t>
  </si>
  <si>
    <t>KOFFI JUSTIN</t>
  </si>
  <si>
    <t>05 05 56 31 36 97</t>
  </si>
  <si>
    <t>GOZ 0083</t>
  </si>
  <si>
    <t>07 79 36 73 18</t>
  </si>
  <si>
    <t>GOZ 0084</t>
  </si>
  <si>
    <t>KASSONGO</t>
  </si>
  <si>
    <t>07 97 71 39 01</t>
  </si>
  <si>
    <t>BF384002001001039000</t>
  </si>
  <si>
    <t>GOZ 0085</t>
  </si>
  <si>
    <t>07 79 40 30 13</t>
  </si>
  <si>
    <t>BF384003001001108656</t>
  </si>
  <si>
    <t>GOZ 0086</t>
  </si>
  <si>
    <t>DRAMANE</t>
  </si>
  <si>
    <t>05 55 84 85 04</t>
  </si>
  <si>
    <t>BF3840030010010746805</t>
  </si>
  <si>
    <t>GOZ 0087</t>
  </si>
  <si>
    <t>TINONGDA ABEL</t>
  </si>
  <si>
    <t>07 47 45 56 84</t>
  </si>
  <si>
    <t>BF384002001003005488</t>
  </si>
  <si>
    <t>GOZ 0088</t>
  </si>
  <si>
    <t>05 75 69 59 81</t>
  </si>
  <si>
    <t>GOZ 0089</t>
  </si>
  <si>
    <t>JULES</t>
  </si>
  <si>
    <t>07 88 46 0985</t>
  </si>
  <si>
    <t>GOZ 0090</t>
  </si>
  <si>
    <t xml:space="preserve"> MANEGBINGBA ALI</t>
  </si>
  <si>
    <t>05 45 49 71 76</t>
  </si>
  <si>
    <t>BF384003001001096579</t>
  </si>
  <si>
    <t>GOZ 0091</t>
  </si>
  <si>
    <t>JULIEN</t>
  </si>
  <si>
    <t>05 44 83 36 79</t>
  </si>
  <si>
    <t>GOZ 0092</t>
  </si>
  <si>
    <t>KONSONDINGNIMBA DRAMANE</t>
  </si>
  <si>
    <t>07 79 14 15 77</t>
  </si>
  <si>
    <t>GOZ 0093</t>
  </si>
  <si>
    <t>SIPAYETE</t>
  </si>
  <si>
    <t>07 87 78 14 17</t>
  </si>
  <si>
    <t>GOZ 0094</t>
  </si>
  <si>
    <t xml:space="preserve">ILBOUDO </t>
  </si>
  <si>
    <t>07 98 30 59 87</t>
  </si>
  <si>
    <t>GOZ 0095</t>
  </si>
  <si>
    <t>NEEBGNIGUA</t>
  </si>
  <si>
    <t>07 79 14 15 61</t>
  </si>
  <si>
    <t>BF3840030010010966602</t>
  </si>
  <si>
    <t>GOZ 0096</t>
  </si>
  <si>
    <t>07 97 71 39 04</t>
  </si>
  <si>
    <t>GOZ 0097</t>
  </si>
  <si>
    <t>ABDOULAYE</t>
  </si>
  <si>
    <t>07 88 85 90 99</t>
  </si>
  <si>
    <t>GOZ 0098</t>
  </si>
  <si>
    <t>SIDPAYETTE</t>
  </si>
  <si>
    <t>07 77 98 45 24</t>
  </si>
  <si>
    <t>GOZ 0099</t>
  </si>
  <si>
    <t>TALL</t>
  </si>
  <si>
    <t>07 98 13 43 73</t>
  </si>
  <si>
    <t>GOZ 0100</t>
  </si>
  <si>
    <t>NAPINGSON</t>
  </si>
  <si>
    <t>GOZ 0101</t>
  </si>
  <si>
    <t>BINJAMIN</t>
  </si>
  <si>
    <t>07 69 25 59 19</t>
  </si>
  <si>
    <t>BF384002001001038437</t>
  </si>
  <si>
    <t>GOZ 0102</t>
  </si>
  <si>
    <t>DIMANCHE</t>
  </si>
  <si>
    <t>07 77 26 61 71</t>
  </si>
  <si>
    <t>GOZ 0103</t>
  </si>
  <si>
    <t>TEGAOUNDE</t>
  </si>
  <si>
    <t>07 58 77 36 02</t>
  </si>
  <si>
    <t>GOZ 0104</t>
  </si>
  <si>
    <t>MINTIRI MOUSSA</t>
  </si>
  <si>
    <t>07 67 64 17 88</t>
  </si>
  <si>
    <t>GOZ 0105</t>
  </si>
  <si>
    <t>YANDAOGO</t>
  </si>
  <si>
    <t>07 69 38 11 18</t>
  </si>
  <si>
    <t>GOZ 0106</t>
  </si>
  <si>
    <t>KOUKA ABDOULAYE</t>
  </si>
  <si>
    <t>BF384002001001024051</t>
  </si>
  <si>
    <t>GOZ 0107</t>
  </si>
  <si>
    <t>MOUSSA BANGBA</t>
  </si>
  <si>
    <t>07 79 46 58 71</t>
  </si>
  <si>
    <t>GOZ 0108</t>
  </si>
  <si>
    <t>HAMIDOU</t>
  </si>
  <si>
    <t>07 97 41 97 65</t>
  </si>
  <si>
    <t>GOZ 0109</t>
  </si>
  <si>
    <t xml:space="preserve">MOUSSA </t>
  </si>
  <si>
    <t>07 78 72 16 74</t>
  </si>
  <si>
    <t>GOZ 0110</t>
  </si>
  <si>
    <t>07 78 72 16 84</t>
  </si>
  <si>
    <t>GOZ 0111</t>
  </si>
  <si>
    <t>SOURNAMA</t>
  </si>
  <si>
    <t>07 79 14 15 73</t>
  </si>
  <si>
    <t>BF384002001001039079</t>
  </si>
  <si>
    <t>GOZ 0112</t>
  </si>
  <si>
    <t xml:space="preserve">SAMA </t>
  </si>
  <si>
    <t>GUETABA DIT DOMINIQUE</t>
  </si>
  <si>
    <t>07 49 89 74 52</t>
  </si>
  <si>
    <t>GOZ 0113</t>
  </si>
  <si>
    <t xml:space="preserve">SOWDO </t>
  </si>
  <si>
    <t>YAHAYA</t>
  </si>
  <si>
    <t>07 48 14 19 87</t>
  </si>
  <si>
    <t>BF384003001001096661</t>
  </si>
  <si>
    <t>GOZ 0114</t>
  </si>
  <si>
    <t>ISSAKA RAPOUGOULI</t>
  </si>
  <si>
    <t>07 08 36 09 63</t>
  </si>
  <si>
    <t>GOZ 0115</t>
  </si>
  <si>
    <t xml:space="preserve">ROUAMBA </t>
  </si>
  <si>
    <t>ANTOINE</t>
  </si>
  <si>
    <t>07 59 56 23 62</t>
  </si>
  <si>
    <t>BF384003005001042183</t>
  </si>
  <si>
    <t>GOZ 0116</t>
  </si>
  <si>
    <t>NONGAWAN</t>
  </si>
  <si>
    <t>GOZ 0117</t>
  </si>
  <si>
    <t>GASTON</t>
  </si>
  <si>
    <t>07 79 81 32 51</t>
  </si>
  <si>
    <t>BF384002001001030009</t>
  </si>
  <si>
    <t>GOZ 0118</t>
  </si>
  <si>
    <t>07 77 88 97 72</t>
  </si>
  <si>
    <t>BF384002001001029985</t>
  </si>
  <si>
    <t>GOZ 0119</t>
  </si>
  <si>
    <t xml:space="preserve">BADOLO </t>
  </si>
  <si>
    <t>07 87 26 15 55</t>
  </si>
  <si>
    <t>BF384002001001022096</t>
  </si>
  <si>
    <t>GOZ 0120</t>
  </si>
  <si>
    <t xml:space="preserve">YOBI </t>
  </si>
  <si>
    <t>05 05 77 56 32</t>
  </si>
  <si>
    <t>BF384003004001001626</t>
  </si>
  <si>
    <t>GOZ 0121</t>
  </si>
  <si>
    <t>BAZIE</t>
  </si>
  <si>
    <t>PAUL</t>
  </si>
  <si>
    <t>07 79 45 01 81</t>
  </si>
  <si>
    <t>BF3840030001001096536</t>
  </si>
  <si>
    <t>GOZ 0122</t>
  </si>
  <si>
    <t>YACOUBA</t>
  </si>
  <si>
    <t>07 47 81 03 42</t>
  </si>
  <si>
    <t>BF384002001001038435</t>
  </si>
  <si>
    <t>GOZ 0123</t>
  </si>
  <si>
    <t>PAPIAN</t>
  </si>
  <si>
    <t>07 98 29 68 16</t>
  </si>
  <si>
    <t>GOZ 0124</t>
  </si>
  <si>
    <t>PAGELGUEM</t>
  </si>
  <si>
    <t>KARIM</t>
  </si>
  <si>
    <t>07 07 41 97 64</t>
  </si>
  <si>
    <t>BF384002001001014708</t>
  </si>
  <si>
    <t>GOZ 0125</t>
  </si>
  <si>
    <t>GBEI ALFRED</t>
  </si>
  <si>
    <t>05 04 01 95 85</t>
  </si>
  <si>
    <t>C0085574898</t>
  </si>
  <si>
    <t>GOZ 0126</t>
  </si>
  <si>
    <t>PHILIPPE</t>
  </si>
  <si>
    <t>C0085135374</t>
  </si>
  <si>
    <t>GOZ 0127</t>
  </si>
  <si>
    <t>WENDINMANEGBE</t>
  </si>
  <si>
    <t>07 79 14 15 70</t>
  </si>
  <si>
    <t>BF384002001001017126</t>
  </si>
  <si>
    <t>GOZ 0128</t>
  </si>
  <si>
    <t>07 58 19 84 27</t>
  </si>
  <si>
    <t>GOZ 0129</t>
  </si>
  <si>
    <t>OUSSENI</t>
  </si>
  <si>
    <t>07 79 14 15 63</t>
  </si>
  <si>
    <t>GOZ 0130</t>
  </si>
  <si>
    <t xml:space="preserve">SIDO </t>
  </si>
  <si>
    <t>SEYDOU</t>
  </si>
  <si>
    <t>07 09 96 99 22</t>
  </si>
  <si>
    <t>GOZ 0131</t>
  </si>
  <si>
    <t>SIRIKI</t>
  </si>
  <si>
    <t>07 0°8 04 25 98</t>
  </si>
  <si>
    <t>BF384002001003005513</t>
  </si>
  <si>
    <t>GOZ 0132</t>
  </si>
  <si>
    <t>HASSANE</t>
  </si>
  <si>
    <t>SADIKOU</t>
  </si>
  <si>
    <t>07 77 81 07 98</t>
  </si>
  <si>
    <t>GOZ 0133</t>
  </si>
  <si>
    <t>PAGBALGUEM</t>
  </si>
  <si>
    <t>NOBILA</t>
  </si>
  <si>
    <t>07 79 14 15 65</t>
  </si>
  <si>
    <t>BF384002001001005129</t>
  </si>
  <si>
    <t>GOZ 0134</t>
  </si>
  <si>
    <t xml:space="preserve">HAMA </t>
  </si>
  <si>
    <t>FATOUMA</t>
  </si>
  <si>
    <t>07 67 02 80 25</t>
  </si>
  <si>
    <t>GOZ 0135</t>
  </si>
  <si>
    <t>JACQUES</t>
  </si>
  <si>
    <t>05 54 90 93 62</t>
  </si>
  <si>
    <t>GOZ 0136</t>
  </si>
  <si>
    <t>ZOUGRANA</t>
  </si>
  <si>
    <t>KASSOUM</t>
  </si>
  <si>
    <t>05 56 06 14 50</t>
  </si>
  <si>
    <t>GOZ 0137</t>
  </si>
  <si>
    <t xml:space="preserve">SARAMBE </t>
  </si>
  <si>
    <t>RIGOMA</t>
  </si>
  <si>
    <t>05 85 21 75 08</t>
  </si>
  <si>
    <t>BF384003001002591</t>
  </si>
  <si>
    <t>GOZ 0138</t>
  </si>
  <si>
    <t>HAMADO</t>
  </si>
  <si>
    <t>07 58 93 53 34</t>
  </si>
  <si>
    <t>GOZ 0139</t>
  </si>
  <si>
    <t>RAYAMBA DRAMANE</t>
  </si>
  <si>
    <t>07 58 47 31 45</t>
  </si>
  <si>
    <t>BF384003001001085519</t>
  </si>
  <si>
    <t>GOZ 0140</t>
  </si>
  <si>
    <t>SALIF</t>
  </si>
  <si>
    <t>07 57 32 49 44</t>
  </si>
  <si>
    <t>GOZ 0141</t>
  </si>
  <si>
    <t>07 79 41 14 69</t>
  </si>
  <si>
    <t>GOZ 0142</t>
  </si>
  <si>
    <t>WENNONGA</t>
  </si>
  <si>
    <t>07 57 16 94 89</t>
  </si>
  <si>
    <t>GOZ 0143</t>
  </si>
  <si>
    <t>DIBI KONAN</t>
  </si>
  <si>
    <t>NARCISSE</t>
  </si>
  <si>
    <t>07 07 18 37 82</t>
  </si>
  <si>
    <t>C0095786407</t>
  </si>
  <si>
    <t>GOZ 0144</t>
  </si>
  <si>
    <t>NOUDAHON</t>
  </si>
  <si>
    <t>05 85 42 61 31</t>
  </si>
  <si>
    <t>C0077278425</t>
  </si>
  <si>
    <t>GOZ 0145</t>
  </si>
  <si>
    <t>SANKARA</t>
  </si>
  <si>
    <t>07 47 49 04 86</t>
  </si>
  <si>
    <t>BF384003001001108818</t>
  </si>
  <si>
    <t>GOZ 0146</t>
  </si>
  <si>
    <t>AMADI</t>
  </si>
  <si>
    <t>05 64 55 83 88</t>
  </si>
  <si>
    <t>GOZ 0147</t>
  </si>
  <si>
    <t>OLIVIER</t>
  </si>
  <si>
    <t>07 77 59 46 39</t>
  </si>
  <si>
    <t>GOZ 0148</t>
  </si>
  <si>
    <t>07 69 81 63 14</t>
  </si>
  <si>
    <t>GOZ 0149</t>
  </si>
  <si>
    <t>NAGRENGO</t>
  </si>
  <si>
    <t>ALBERT</t>
  </si>
  <si>
    <t>07 7928 26 08</t>
  </si>
  <si>
    <t>BF384002001001039007</t>
  </si>
  <si>
    <t>GOZ 0150</t>
  </si>
  <si>
    <t>YELYAORE</t>
  </si>
  <si>
    <t>DANIEL</t>
  </si>
  <si>
    <t>07 87 12 81 49</t>
  </si>
  <si>
    <t>BF384002001001038463</t>
  </si>
  <si>
    <t>GOZ 0151</t>
  </si>
  <si>
    <t>GUESSYMALGRE</t>
  </si>
  <si>
    <t>07 68 09 25 37</t>
  </si>
  <si>
    <t>GOZ 0152</t>
  </si>
  <si>
    <t>KOLOGO</t>
  </si>
  <si>
    <t>KODOUGOU</t>
  </si>
  <si>
    <t>07 59 10 35 69</t>
  </si>
  <si>
    <t>YAD 0001</t>
  </si>
  <si>
    <t>YADOULE</t>
  </si>
  <si>
    <t>OULAI</t>
  </si>
  <si>
    <t>SYLVIE</t>
  </si>
  <si>
    <t>05 74 30 28 02</t>
  </si>
  <si>
    <t>CI000507254</t>
  </si>
  <si>
    <t>KOUAKOU N'GUESSAN MARIUS</t>
  </si>
  <si>
    <t>YAD 0002</t>
  </si>
  <si>
    <t>INNOCENT</t>
  </si>
  <si>
    <t>05 85 35 62 37</t>
  </si>
  <si>
    <t>YAD 0003</t>
  </si>
  <si>
    <t>ZOUEH OULAI</t>
  </si>
  <si>
    <t>YLAIRES</t>
  </si>
  <si>
    <t>05 65 34 93 08</t>
  </si>
  <si>
    <t>C0085960624</t>
  </si>
  <si>
    <t>YAD 0004</t>
  </si>
  <si>
    <t xml:space="preserve">DOH </t>
  </si>
  <si>
    <t>ALEXIS</t>
  </si>
  <si>
    <t>05 95 41 37 22</t>
  </si>
  <si>
    <t>C0086230647</t>
  </si>
  <si>
    <t>YAD 0005</t>
  </si>
  <si>
    <t>DROH</t>
  </si>
  <si>
    <t>C0082896559</t>
  </si>
  <si>
    <t>YAD 0006</t>
  </si>
  <si>
    <t>LEONARD</t>
  </si>
  <si>
    <t>05 44 34 99 19</t>
  </si>
  <si>
    <t>CI000507070</t>
  </si>
  <si>
    <t>YAD 0007</t>
  </si>
  <si>
    <t xml:space="preserve">DROH </t>
  </si>
  <si>
    <t>05 54 75 17 51</t>
  </si>
  <si>
    <t>C0081812963</t>
  </si>
  <si>
    <t>YAD 0008</t>
  </si>
  <si>
    <t>GERMAIN</t>
  </si>
  <si>
    <t>05 84 19 24 72</t>
  </si>
  <si>
    <t>YAD 0009</t>
  </si>
  <si>
    <t>HERMAN</t>
  </si>
  <si>
    <t>05 65 47 23 25</t>
  </si>
  <si>
    <t>YAD 0010</t>
  </si>
  <si>
    <t>GUEU</t>
  </si>
  <si>
    <t>05 74 08 74 08</t>
  </si>
  <si>
    <t>YAD 0011</t>
  </si>
  <si>
    <t>KADER</t>
  </si>
  <si>
    <t>07 67 91 79 14</t>
  </si>
  <si>
    <t>C0081694873</t>
  </si>
  <si>
    <t>YAD 0012</t>
  </si>
  <si>
    <t>TOGBE</t>
  </si>
  <si>
    <t>05 45 57 79 43</t>
  </si>
  <si>
    <t>YAD 0013</t>
  </si>
  <si>
    <t>KOFFI</t>
  </si>
  <si>
    <t>KOUADIO DAVID</t>
  </si>
  <si>
    <t>05 65 30 04 88</t>
  </si>
  <si>
    <t>C0079138925</t>
  </si>
  <si>
    <t>YAD 0014</t>
  </si>
  <si>
    <t xml:space="preserve">LOHI </t>
  </si>
  <si>
    <t>HUBERT</t>
  </si>
  <si>
    <t>05 46 99 5334</t>
  </si>
  <si>
    <t>C0082738873</t>
  </si>
  <si>
    <t xml:space="preserve">M </t>
  </si>
  <si>
    <t>YAD 0015</t>
  </si>
  <si>
    <t>JONAS</t>
  </si>
  <si>
    <t>05 64 62 80 81</t>
  </si>
  <si>
    <t>C0087425677</t>
  </si>
  <si>
    <t>YAD 0016</t>
  </si>
  <si>
    <t>SANOGO</t>
  </si>
  <si>
    <t>NAMA</t>
  </si>
  <si>
    <t>05 56 62 96  06</t>
  </si>
  <si>
    <t>YAD 0017</t>
  </si>
  <si>
    <t>KOUAME BRAHIMAN</t>
  </si>
  <si>
    <t>07 59 22 20 44</t>
  </si>
  <si>
    <t>C0071724805</t>
  </si>
  <si>
    <t>YAD 0018</t>
  </si>
  <si>
    <t>BRAHIMA</t>
  </si>
  <si>
    <t>KOUAKOU SIAKA</t>
  </si>
  <si>
    <t>07 49 96 28 57</t>
  </si>
  <si>
    <t>C0077792052</t>
  </si>
  <si>
    <t>YAD 0019</t>
  </si>
  <si>
    <t>KOUI</t>
  </si>
  <si>
    <t>BERTRAND</t>
  </si>
  <si>
    <t>05 06 86 91 25</t>
  </si>
  <si>
    <t>C0091199805</t>
  </si>
  <si>
    <t>YAD 0020</t>
  </si>
  <si>
    <t>05 55 68 59 76</t>
  </si>
  <si>
    <t>YAD 0021</t>
  </si>
  <si>
    <t>BLEU MARINE</t>
  </si>
  <si>
    <t>05 04 40 54 22</t>
  </si>
  <si>
    <t>C0084105774</t>
  </si>
  <si>
    <t>YAD 0022</t>
  </si>
  <si>
    <t>TIEMOKO</t>
  </si>
  <si>
    <t>JEREMI</t>
  </si>
  <si>
    <t>05 06 52 87 71</t>
  </si>
  <si>
    <t>YAD 0023</t>
  </si>
  <si>
    <t>PALE</t>
  </si>
  <si>
    <t>SIE</t>
  </si>
  <si>
    <t>05 76 94 57 54</t>
  </si>
  <si>
    <t>YAD 0024</t>
  </si>
  <si>
    <t>GBONGUE</t>
  </si>
  <si>
    <t>VINCENT</t>
  </si>
  <si>
    <t>05 84 39 16 04</t>
  </si>
  <si>
    <t>YAD 0025</t>
  </si>
  <si>
    <t>ZIO OULAI</t>
  </si>
  <si>
    <t>JEAN CLAUDE</t>
  </si>
  <si>
    <t>07 09 96 13 79</t>
  </si>
  <si>
    <t>YAD 0026</t>
  </si>
  <si>
    <t>07 09 95 37 17</t>
  </si>
  <si>
    <t>C0083048151</t>
  </si>
  <si>
    <t>YAD 0027</t>
  </si>
  <si>
    <t>KPAN</t>
  </si>
  <si>
    <t>SYLVESTRE</t>
  </si>
  <si>
    <t>05 56 66 32 87</t>
  </si>
  <si>
    <t>C0088533537</t>
  </si>
  <si>
    <t>YAD 0028</t>
  </si>
  <si>
    <t>TANH</t>
  </si>
  <si>
    <t>05 64 44 27 34</t>
  </si>
  <si>
    <t>YAD 0029</t>
  </si>
  <si>
    <t>ZIAN GUEU</t>
  </si>
  <si>
    <t>05 76 83 21 30</t>
  </si>
  <si>
    <t>C0094387269</t>
  </si>
  <si>
    <t>YAD 0030</t>
  </si>
  <si>
    <t>ZIAN</t>
  </si>
  <si>
    <t>ALPHONS</t>
  </si>
  <si>
    <t>05 55 47 24 49</t>
  </si>
  <si>
    <t>YAD 0031</t>
  </si>
  <si>
    <t>OULAI KPAN</t>
  </si>
  <si>
    <t>PAUL ANDRE</t>
  </si>
  <si>
    <t>07 68 36 28 00</t>
  </si>
  <si>
    <t>C0082496412</t>
  </si>
  <si>
    <t>YAD 0032</t>
  </si>
  <si>
    <t>DION</t>
  </si>
  <si>
    <t>HERMANN</t>
  </si>
  <si>
    <t>05 64 67 70 22</t>
  </si>
  <si>
    <t>YAD 0033</t>
  </si>
  <si>
    <t>YOLLA</t>
  </si>
  <si>
    <t>PHIPPE</t>
  </si>
  <si>
    <t>05 54 50 78 19</t>
  </si>
  <si>
    <t>C0087050136</t>
  </si>
  <si>
    <t>YAD 0034</t>
  </si>
  <si>
    <t>05 55 09 70 77</t>
  </si>
  <si>
    <t>YAD 0035</t>
  </si>
  <si>
    <t>FRANCK</t>
  </si>
  <si>
    <t>05 95 46 99 95</t>
  </si>
  <si>
    <t>YAD 0036</t>
  </si>
  <si>
    <t>KOUASSI KPAN</t>
  </si>
  <si>
    <t>SERAPHIN</t>
  </si>
  <si>
    <t>07 59 31 52 69</t>
  </si>
  <si>
    <t>CI000540075</t>
  </si>
  <si>
    <t>YAD 0037</t>
  </si>
  <si>
    <t>05 04 60 47 74</t>
  </si>
  <si>
    <t>C0104976351</t>
  </si>
  <si>
    <t>YAD 0038</t>
  </si>
  <si>
    <t>GONTO KOUE</t>
  </si>
  <si>
    <t>05 56 17 50 06</t>
  </si>
  <si>
    <t>YAD 0039</t>
  </si>
  <si>
    <t>GNANLE</t>
  </si>
  <si>
    <t>ANDRE</t>
  </si>
  <si>
    <t>05 44 72 72 88</t>
  </si>
  <si>
    <t>C0088400642</t>
  </si>
  <si>
    <t>YAD 0040</t>
  </si>
  <si>
    <t>TROH</t>
  </si>
  <si>
    <t>HENRI</t>
  </si>
  <si>
    <t>YAD 0041</t>
  </si>
  <si>
    <t>KOUI OUAGUEY</t>
  </si>
  <si>
    <t>PATRICE</t>
  </si>
  <si>
    <t>05 74 77 62 31</t>
  </si>
  <si>
    <t>C0084060189</t>
  </si>
  <si>
    <t>YAD 0042</t>
  </si>
  <si>
    <t>ETIENNE</t>
  </si>
  <si>
    <t>05 55 70 69 59</t>
  </si>
  <si>
    <t>C0082296559</t>
  </si>
  <si>
    <t>YAD 0043</t>
  </si>
  <si>
    <t>EMMANUEL</t>
  </si>
  <si>
    <t>07 09 85 85 90</t>
  </si>
  <si>
    <t>YAD 0044</t>
  </si>
  <si>
    <t>05 66 65 70 28</t>
  </si>
  <si>
    <t>YAD 0045</t>
  </si>
  <si>
    <t>ELADITH</t>
  </si>
  <si>
    <t>05 95 01 28 49</t>
  </si>
  <si>
    <t>C0083383291</t>
  </si>
  <si>
    <t>YAD 0046</t>
  </si>
  <si>
    <t>VEH</t>
  </si>
  <si>
    <t>BERTIN</t>
  </si>
  <si>
    <t>05 45 63 95 37</t>
  </si>
  <si>
    <t>YAD 0047</t>
  </si>
  <si>
    <t>MANH</t>
  </si>
  <si>
    <t>SEVERIN</t>
  </si>
  <si>
    <t>05 95 63 50 52</t>
  </si>
  <si>
    <t>C0107653983</t>
  </si>
  <si>
    <t>YAD 0048</t>
  </si>
  <si>
    <t>GONSSAN</t>
  </si>
  <si>
    <t>05 55 32 62 39</t>
  </si>
  <si>
    <t>C0095983543</t>
  </si>
  <si>
    <t>YAD 0049</t>
  </si>
  <si>
    <t>BOUE</t>
  </si>
  <si>
    <t>PATRICIA</t>
  </si>
  <si>
    <t>05 55 32 61 39</t>
  </si>
  <si>
    <t>C0887468481</t>
  </si>
  <si>
    <t>YAD 0050</t>
  </si>
  <si>
    <t>NEKELE DAN</t>
  </si>
  <si>
    <t>ELI</t>
  </si>
  <si>
    <t>05 76 88 93 74</t>
  </si>
  <si>
    <t>YAD 0051</t>
  </si>
  <si>
    <t>GONSAN TOMAYE</t>
  </si>
  <si>
    <t>C0085287697</t>
  </si>
  <si>
    <t>YAD 0052</t>
  </si>
  <si>
    <t>OULAI DODO</t>
  </si>
  <si>
    <t>YVES</t>
  </si>
  <si>
    <t>05 65 62 52 65</t>
  </si>
  <si>
    <t>C0085958470</t>
  </si>
  <si>
    <t>YAD 0053</t>
  </si>
  <si>
    <t>DAN OULAI</t>
  </si>
  <si>
    <t>FABRICE</t>
  </si>
  <si>
    <t>05 55 77 14 72</t>
  </si>
  <si>
    <t>YAD 0054</t>
  </si>
  <si>
    <t>YOLA</t>
  </si>
  <si>
    <t>07 46 73 88 33</t>
  </si>
  <si>
    <t>C0092499075</t>
  </si>
  <si>
    <t>YAD 0055</t>
  </si>
  <si>
    <t>TANOH KOUASSI</t>
  </si>
  <si>
    <t>05 85 17 31 01</t>
  </si>
  <si>
    <t>C0089906893</t>
  </si>
  <si>
    <t>YAD 0056</t>
  </si>
  <si>
    <t>AMANI KOUAKOU</t>
  </si>
  <si>
    <t>EDOUARD</t>
  </si>
  <si>
    <t>05 65 02 67 18</t>
  </si>
  <si>
    <t>YAD 0057</t>
  </si>
  <si>
    <t>KONAN KOUAKOU</t>
  </si>
  <si>
    <t>FIRMIN</t>
  </si>
  <si>
    <t>05 64 19 68 40</t>
  </si>
  <si>
    <t>C0081693610</t>
  </si>
  <si>
    <t>YAD 0058</t>
  </si>
  <si>
    <t>KONAN KOUASSI</t>
  </si>
  <si>
    <t>ANDRIEN</t>
  </si>
  <si>
    <t>05 85 20 30 91</t>
  </si>
  <si>
    <t>C0112426819</t>
  </si>
  <si>
    <t>YAD 0059</t>
  </si>
  <si>
    <t>KOFFI KOUASSI</t>
  </si>
  <si>
    <t>DOMINIQUE</t>
  </si>
  <si>
    <t>05 66 76 82 11</t>
  </si>
  <si>
    <t>C0071805564</t>
  </si>
  <si>
    <t>YAD 0060</t>
  </si>
  <si>
    <t>DAH SANI</t>
  </si>
  <si>
    <t>05 44 41 03 08</t>
  </si>
  <si>
    <t>YAD 0061</t>
  </si>
  <si>
    <t xml:space="preserve">KPAN </t>
  </si>
  <si>
    <t>HONORE</t>
  </si>
  <si>
    <t>05 84 47 96 86</t>
  </si>
  <si>
    <t>YAD 0062</t>
  </si>
  <si>
    <t>ENGELINE</t>
  </si>
  <si>
    <t>05 64 95 66 52</t>
  </si>
  <si>
    <t>C0088031255</t>
  </si>
  <si>
    <t>YAD 0063</t>
  </si>
  <si>
    <t>TOTO</t>
  </si>
  <si>
    <t>05 84 69 29 60</t>
  </si>
  <si>
    <t>YAD 0064</t>
  </si>
  <si>
    <t>05 54 72 01 93</t>
  </si>
  <si>
    <t>YAD 0065</t>
  </si>
  <si>
    <t>FEH</t>
  </si>
  <si>
    <t>JEAN NOEL</t>
  </si>
  <si>
    <t>05 95 68 07 22</t>
  </si>
  <si>
    <t>YAD 0066</t>
  </si>
  <si>
    <t>SIDIKI GUEU</t>
  </si>
  <si>
    <t>EDMOND</t>
  </si>
  <si>
    <t>05 44 55 37 55</t>
  </si>
  <si>
    <t>C0028373429</t>
  </si>
  <si>
    <t>YAD 0067</t>
  </si>
  <si>
    <t>SIDIKI</t>
  </si>
  <si>
    <t>ISSAC</t>
  </si>
  <si>
    <t>05 76 30 10 26</t>
  </si>
  <si>
    <t>YAD 0068</t>
  </si>
  <si>
    <t>05 85 35 12 29</t>
  </si>
  <si>
    <t>YAD 0069</t>
  </si>
  <si>
    <t>05 44 19 87 89</t>
  </si>
  <si>
    <t>C0100471579</t>
  </si>
  <si>
    <t>YAD 0070</t>
  </si>
  <si>
    <t xml:space="preserve">KONE </t>
  </si>
  <si>
    <t>MAMADI</t>
  </si>
  <si>
    <t>05 04 05 26 12</t>
  </si>
  <si>
    <t>C0057870265</t>
  </si>
  <si>
    <t>YAD 0071</t>
  </si>
  <si>
    <t>07 49 22 43 17</t>
  </si>
  <si>
    <t>C0095440135</t>
  </si>
  <si>
    <t>YAD 0072</t>
  </si>
  <si>
    <t>DELLY DODO</t>
  </si>
  <si>
    <t>MATHIAS</t>
  </si>
  <si>
    <t>05 74 80 07 95</t>
  </si>
  <si>
    <t>C0071005052</t>
  </si>
  <si>
    <t>YAD 0073</t>
  </si>
  <si>
    <t xml:space="preserve">RAKISTABA </t>
  </si>
  <si>
    <t>YAMBA AMIDOU</t>
  </si>
  <si>
    <t>07 78 20 40 88</t>
  </si>
  <si>
    <t>BF384002004001005356</t>
  </si>
  <si>
    <t>YAD 0074</t>
  </si>
  <si>
    <t>SANGLA</t>
  </si>
  <si>
    <t>ALIDOU</t>
  </si>
  <si>
    <t xml:space="preserve">07  49 14 04 37 </t>
  </si>
  <si>
    <t>BF384001002001003348</t>
  </si>
  <si>
    <t>YAD 0075</t>
  </si>
  <si>
    <t>SOUITAGNOMA BRAHIMA</t>
  </si>
  <si>
    <t>07 48 01 47 07</t>
  </si>
  <si>
    <t>YAD 0076</t>
  </si>
  <si>
    <t>JEAN BAPTISTE</t>
  </si>
  <si>
    <t>05 46 90 11 06</t>
  </si>
  <si>
    <t>YAD 0077</t>
  </si>
  <si>
    <t>BARRY</t>
  </si>
  <si>
    <t>07 58 01 05 59</t>
  </si>
  <si>
    <t>YAD 0078</t>
  </si>
  <si>
    <t>KONAN AKISSI</t>
  </si>
  <si>
    <t>YVONE</t>
  </si>
  <si>
    <t>07 88 93 78 96</t>
  </si>
  <si>
    <t>YAD 0079</t>
  </si>
  <si>
    <t>KOUAME KOFFI</t>
  </si>
  <si>
    <t>NICOLE</t>
  </si>
  <si>
    <t>07 08 12 86 19</t>
  </si>
  <si>
    <t>YAD 0080</t>
  </si>
  <si>
    <t>KOMENAN</t>
  </si>
  <si>
    <t>KOUAME  GERVAIS</t>
  </si>
  <si>
    <t>07 09 03 06 95</t>
  </si>
  <si>
    <t>C0080604886</t>
  </si>
  <si>
    <t>YAD 0081</t>
  </si>
  <si>
    <t>GNINININOJOME</t>
  </si>
  <si>
    <t>05 54 51 93 49</t>
  </si>
  <si>
    <t>YAD 0082</t>
  </si>
  <si>
    <t>OULAI TIEMOKO</t>
  </si>
  <si>
    <t>05 54 53 47 56</t>
  </si>
  <si>
    <t>YAD 0083</t>
  </si>
  <si>
    <t xml:space="preserve">KONAN </t>
  </si>
  <si>
    <t>KOUASSI</t>
  </si>
  <si>
    <t>07 09 40 15 04</t>
  </si>
  <si>
    <t>C0089348283</t>
  </si>
  <si>
    <t>YAD 0084</t>
  </si>
  <si>
    <t xml:space="preserve">KRA YA </t>
  </si>
  <si>
    <t>PELIA</t>
  </si>
  <si>
    <t>07 59 0970 95</t>
  </si>
  <si>
    <t>C0090783483</t>
  </si>
  <si>
    <t>YAD 0085</t>
  </si>
  <si>
    <t>KOUAME YAO</t>
  </si>
  <si>
    <t>SIMPLICE</t>
  </si>
  <si>
    <t>07 49 82 80 63</t>
  </si>
  <si>
    <t>YAD 0086</t>
  </si>
  <si>
    <t xml:space="preserve">N'ZUE KOUAME </t>
  </si>
  <si>
    <t>07 67 72 25 45</t>
  </si>
  <si>
    <t>YAD 0087</t>
  </si>
  <si>
    <t>KOUAKOU KONAN</t>
  </si>
  <si>
    <t>BERNARD</t>
  </si>
  <si>
    <t>07 09 71 73 84</t>
  </si>
  <si>
    <t>C0076074181</t>
  </si>
  <si>
    <t>YAD 0088</t>
  </si>
  <si>
    <t xml:space="preserve">KOUAME </t>
  </si>
  <si>
    <t>YAD 0089</t>
  </si>
  <si>
    <t xml:space="preserve">GOH </t>
  </si>
  <si>
    <t>05 85 96 53 83</t>
  </si>
  <si>
    <t>C0086376277</t>
  </si>
  <si>
    <t>YAD 0090</t>
  </si>
  <si>
    <t>05 65 08 89 79</t>
  </si>
  <si>
    <t>C0083795419</t>
  </si>
  <si>
    <t>YAD 0091</t>
  </si>
  <si>
    <t>VATOU</t>
  </si>
  <si>
    <t>C0091360582</t>
  </si>
  <si>
    <t>YAD 0092</t>
  </si>
  <si>
    <t>CHIMENE</t>
  </si>
  <si>
    <t>05 95 03 18 26</t>
  </si>
  <si>
    <t>C0088328762</t>
  </si>
  <si>
    <t>YAD 0093</t>
  </si>
  <si>
    <t>OULAI GUEU</t>
  </si>
  <si>
    <t>05 75 08 04 10</t>
  </si>
  <si>
    <t>YAD 0094</t>
  </si>
  <si>
    <t>OULAI GONDO</t>
  </si>
  <si>
    <t>CELESTIN</t>
  </si>
  <si>
    <t>05 04 44 97 55</t>
  </si>
  <si>
    <t>C0097044658</t>
  </si>
  <si>
    <t>YAD 0095</t>
  </si>
  <si>
    <t>GUEI</t>
  </si>
  <si>
    <t>MARTIN</t>
  </si>
  <si>
    <t>05 84 66 90 67</t>
  </si>
  <si>
    <t>YAD 0096</t>
  </si>
  <si>
    <t>JEAN</t>
  </si>
  <si>
    <t>07 97 07 05 82</t>
  </si>
  <si>
    <t>C0100401383</t>
  </si>
  <si>
    <t>YAD 0097</t>
  </si>
  <si>
    <t>GRO</t>
  </si>
  <si>
    <t>MARIE</t>
  </si>
  <si>
    <t>05 65 12 24 00</t>
  </si>
  <si>
    <t>YAD 0098</t>
  </si>
  <si>
    <t>MAN MABLE</t>
  </si>
  <si>
    <t>C0089931396</t>
  </si>
  <si>
    <t>YAD 0099</t>
  </si>
  <si>
    <t>SAI</t>
  </si>
  <si>
    <t>05 84 77 64 37</t>
  </si>
  <si>
    <t>C0082364218</t>
  </si>
  <si>
    <t>YAD 0100</t>
  </si>
  <si>
    <t>05 44 84 44 03</t>
  </si>
  <si>
    <t>C0098285293</t>
  </si>
  <si>
    <t>YAD 0101</t>
  </si>
  <si>
    <t>DOUEU</t>
  </si>
  <si>
    <t>DESCARD</t>
  </si>
  <si>
    <t>05 86 40 0652</t>
  </si>
  <si>
    <t>YAD 0102</t>
  </si>
  <si>
    <t>JACQUET</t>
  </si>
  <si>
    <t>05 76 20 16 60</t>
  </si>
  <si>
    <t>C0097559479</t>
  </si>
  <si>
    <t>YAD 0103</t>
  </si>
  <si>
    <t>BARTHELEMY</t>
  </si>
  <si>
    <t>05 75 88 79 64</t>
  </si>
  <si>
    <t>YAD 0104</t>
  </si>
  <si>
    <t>SINGE DION</t>
  </si>
  <si>
    <t>ALPONSE</t>
  </si>
  <si>
    <t>05 06 95 52 13</t>
  </si>
  <si>
    <t>C0086958354</t>
  </si>
  <si>
    <t>YAD 0105</t>
  </si>
  <si>
    <t>FULGENCE</t>
  </si>
  <si>
    <t>05 06 35 49 78</t>
  </si>
  <si>
    <t>YAD 0106</t>
  </si>
  <si>
    <t>FEH GUEU</t>
  </si>
  <si>
    <t>RODOLPH</t>
  </si>
  <si>
    <t>05 55 83 42 04</t>
  </si>
  <si>
    <t>C0088731328</t>
  </si>
  <si>
    <t>YAD 0107</t>
  </si>
  <si>
    <t>KEI KOUAKOU</t>
  </si>
  <si>
    <t>07 09 92 26 95</t>
  </si>
  <si>
    <t>C0084128296</t>
  </si>
  <si>
    <t>YAD 0108</t>
  </si>
  <si>
    <t>TONGA</t>
  </si>
  <si>
    <t>07 09 95 36 17</t>
  </si>
  <si>
    <t>C0095207878</t>
  </si>
  <si>
    <t>YAD 0109</t>
  </si>
  <si>
    <t>OULAI DETY</t>
  </si>
  <si>
    <t>HERVE</t>
  </si>
  <si>
    <t>05 76 46 60 02</t>
  </si>
  <si>
    <t>YAD 0110</t>
  </si>
  <si>
    <t>GBANGUE</t>
  </si>
  <si>
    <t>05 84 60 52 30</t>
  </si>
  <si>
    <t>YAD 0111</t>
  </si>
  <si>
    <t>MAHAN</t>
  </si>
  <si>
    <t>MARCELIN</t>
  </si>
  <si>
    <t>05 54 14 28 50</t>
  </si>
  <si>
    <t>YAD 0112</t>
  </si>
  <si>
    <t>SINGO</t>
  </si>
  <si>
    <t>CELINE</t>
  </si>
  <si>
    <t>YAD 0113</t>
  </si>
  <si>
    <t>ERNEST</t>
  </si>
  <si>
    <t>YAD 0114</t>
  </si>
  <si>
    <t>N'GUESSAN KONAN</t>
  </si>
  <si>
    <t>07 49 95 52 56</t>
  </si>
  <si>
    <t>C0100417627</t>
  </si>
  <si>
    <t>YAD 0115</t>
  </si>
  <si>
    <t>KOMENAN KOFFI</t>
  </si>
  <si>
    <t>05 04 39 34 25</t>
  </si>
  <si>
    <t>YAD 0116</t>
  </si>
  <si>
    <t>GNAN</t>
  </si>
  <si>
    <t>05 45 64 04 99</t>
  </si>
  <si>
    <t>C0085848283</t>
  </si>
  <si>
    <t>YAD 0117</t>
  </si>
  <si>
    <t>07 09 94 86 37</t>
  </si>
  <si>
    <t>C0080714052</t>
  </si>
  <si>
    <t>YAD 0118</t>
  </si>
  <si>
    <t>JADEL</t>
  </si>
  <si>
    <t>05 75 59 99 96</t>
  </si>
  <si>
    <t>C0110846693</t>
  </si>
  <si>
    <t>YAD 0119</t>
  </si>
  <si>
    <t>GOGBE</t>
  </si>
  <si>
    <t>LUICIE</t>
  </si>
  <si>
    <t>05 64 01 67 83</t>
  </si>
  <si>
    <t>C0099771124</t>
  </si>
  <si>
    <t>YAD 0120</t>
  </si>
  <si>
    <t xml:space="preserve">GONDO </t>
  </si>
  <si>
    <t>ALPHONSE</t>
  </si>
  <si>
    <t>05 56 80 76 99</t>
  </si>
  <si>
    <t>C0095341981</t>
  </si>
  <si>
    <t>YAD 0121</t>
  </si>
  <si>
    <t>KOUE BLE</t>
  </si>
  <si>
    <t>05 95 48 16 26</t>
  </si>
  <si>
    <t>C0082498694</t>
  </si>
  <si>
    <t>YAD 0122</t>
  </si>
  <si>
    <t>GOH ZOGBIN</t>
  </si>
  <si>
    <t>BLAISE</t>
  </si>
  <si>
    <t>05 05 83 73 34</t>
  </si>
  <si>
    <t>C0088577311</t>
  </si>
  <si>
    <t>YAD 0123</t>
  </si>
  <si>
    <t>GOMBA DION</t>
  </si>
  <si>
    <t>ENNEST</t>
  </si>
  <si>
    <t>05 44 29 86 32</t>
  </si>
  <si>
    <t>YAD 0124</t>
  </si>
  <si>
    <t>ERIC</t>
  </si>
  <si>
    <t>05 75 24 55 91</t>
  </si>
  <si>
    <t>C0082480181</t>
  </si>
  <si>
    <t>YAD 0125</t>
  </si>
  <si>
    <t xml:space="preserve">OULAI </t>
  </si>
  <si>
    <t>SINGBEU</t>
  </si>
  <si>
    <t>05 55 33 17 60</t>
  </si>
  <si>
    <t>C0022296559</t>
  </si>
  <si>
    <t>YAD 0126</t>
  </si>
  <si>
    <t xml:space="preserve">OUATTARA </t>
  </si>
  <si>
    <t>07 68 78 15 96</t>
  </si>
  <si>
    <t>YAD 0127</t>
  </si>
  <si>
    <t xml:space="preserve">ZONGO </t>
  </si>
  <si>
    <t>ABOU</t>
  </si>
  <si>
    <t>07 57 21 16  54</t>
  </si>
  <si>
    <t>YAD 0128</t>
  </si>
  <si>
    <t>YAD 0129</t>
  </si>
  <si>
    <t xml:space="preserve">GOME </t>
  </si>
  <si>
    <t>C0095191980</t>
  </si>
  <si>
    <t>YAD 0130</t>
  </si>
  <si>
    <t>YASSERAUD EVARISTE</t>
  </si>
  <si>
    <t>07 09 96 04 95</t>
  </si>
  <si>
    <t>YAD 0131</t>
  </si>
  <si>
    <t>GONTO</t>
  </si>
  <si>
    <t>07 09 96 20</t>
  </si>
  <si>
    <t>YAD 0132</t>
  </si>
  <si>
    <t>05 85 02 69 38</t>
  </si>
  <si>
    <t>YAD 0133</t>
  </si>
  <si>
    <t>05 64 44 92 32</t>
  </si>
  <si>
    <t>C0085798511</t>
  </si>
  <si>
    <t>YAD 0134</t>
  </si>
  <si>
    <t>05 56 44 12 24</t>
  </si>
  <si>
    <t>BF384002001001012672</t>
  </si>
  <si>
    <t>YAD 0135</t>
  </si>
  <si>
    <t>KOUASSI  KOUADIO</t>
  </si>
  <si>
    <t xml:space="preserve"> LUCIEN </t>
  </si>
  <si>
    <t>05 05 88 37 00</t>
  </si>
  <si>
    <t>YAD 0136</t>
  </si>
  <si>
    <t>KOFFI CLAUDE</t>
  </si>
  <si>
    <t xml:space="preserve"> KOUADIO</t>
  </si>
  <si>
    <t>05 65 30 04 80</t>
  </si>
  <si>
    <t>YAD 0137</t>
  </si>
  <si>
    <t>SEKOU KOUADIO</t>
  </si>
  <si>
    <t>05 54 73 13 33</t>
  </si>
  <si>
    <t>C0072971723</t>
  </si>
  <si>
    <t>YAD 0138</t>
  </si>
  <si>
    <t>FRERNAND</t>
  </si>
  <si>
    <t>05 45 14 85 29</t>
  </si>
  <si>
    <t>C0083095027</t>
  </si>
  <si>
    <t>YAD 0139</t>
  </si>
  <si>
    <t>EVARISTE</t>
  </si>
  <si>
    <t>05 86 85 27 94</t>
  </si>
  <si>
    <t>C0083832589</t>
  </si>
  <si>
    <t>YAD 0140</t>
  </si>
  <si>
    <t>ZOGBI</t>
  </si>
  <si>
    <t>ANDERSON TANH</t>
  </si>
  <si>
    <t>CI000507066</t>
  </si>
  <si>
    <t>YAD 0141</t>
  </si>
  <si>
    <t>GLAI SESSIEU</t>
  </si>
  <si>
    <t>SEVERINE</t>
  </si>
  <si>
    <t>YAD 0142</t>
  </si>
  <si>
    <t>GOSAN TROH</t>
  </si>
  <si>
    <t>EUGENE</t>
  </si>
  <si>
    <t>YAD 0143</t>
  </si>
  <si>
    <t>MARTINE</t>
  </si>
  <si>
    <t>07 09 94 92 47</t>
  </si>
  <si>
    <t>C0110743910</t>
  </si>
  <si>
    <t>YAD 0144</t>
  </si>
  <si>
    <t>YAD 0145</t>
  </si>
  <si>
    <t>PACOM</t>
  </si>
  <si>
    <t>05 65 07 12 56</t>
  </si>
  <si>
    <t>C0082665311</t>
  </si>
  <si>
    <t>YAD 0146</t>
  </si>
  <si>
    <t xml:space="preserve">DION </t>
  </si>
  <si>
    <t>CHANTAL</t>
  </si>
  <si>
    <t>05 84 07 93 11</t>
  </si>
  <si>
    <t>C0085268988</t>
  </si>
  <si>
    <t>YAD 0147</t>
  </si>
  <si>
    <t>PASCAL</t>
  </si>
  <si>
    <t>05 04 16 83 48</t>
  </si>
  <si>
    <t>C0082178873</t>
  </si>
  <si>
    <t>YAD 0148</t>
  </si>
  <si>
    <t>MONH GUEU</t>
  </si>
  <si>
    <t>PERICLES</t>
  </si>
  <si>
    <t>05 46 92 11 86</t>
  </si>
  <si>
    <t>C0083095069</t>
  </si>
  <si>
    <t>YAD 0149</t>
  </si>
  <si>
    <t>MATHURIN</t>
  </si>
  <si>
    <t>05 86 15 96 61</t>
  </si>
  <si>
    <t>YAD 0150</t>
  </si>
  <si>
    <t xml:space="preserve">SADIA KOUE </t>
  </si>
  <si>
    <t>05 66 22 23 88</t>
  </si>
  <si>
    <t>YAD 0151</t>
  </si>
  <si>
    <t>MIRIELLE</t>
  </si>
  <si>
    <t>YAD 0152</t>
  </si>
  <si>
    <t>C0085439955</t>
  </si>
  <si>
    <t>YAD 0153</t>
  </si>
  <si>
    <t>05 86 40 06 52</t>
  </si>
  <si>
    <t>C0085497098</t>
  </si>
  <si>
    <t>CACAO</t>
  </si>
  <si>
    <t>BF384008341323741375</t>
  </si>
  <si>
    <t>BF384002643357565494</t>
  </si>
  <si>
    <t>BF384003955648942775</t>
  </si>
  <si>
    <t>BF384006857826269152</t>
  </si>
  <si>
    <t>BF384008722186277468</t>
  </si>
  <si>
    <t>BF384003913585751255</t>
  </si>
  <si>
    <t>BF384005499814811287</t>
  </si>
  <si>
    <t>C0041893749</t>
  </si>
  <si>
    <t>BF384006855243532997</t>
  </si>
  <si>
    <t>BF384009997924154341</t>
  </si>
  <si>
    <t>BF384006583973756966</t>
  </si>
  <si>
    <t>BF384005551638846787</t>
  </si>
  <si>
    <t>BF384004776781382134</t>
  </si>
  <si>
    <t>BF384002147566468912</t>
  </si>
  <si>
    <t>BF384002241433132853</t>
  </si>
  <si>
    <t>BF384001793985145834</t>
  </si>
  <si>
    <t>BF384005331653779191</t>
  </si>
  <si>
    <t>BF384005147615614925</t>
  </si>
  <si>
    <t>BF384003679289949635</t>
  </si>
  <si>
    <t>BF384008285219249388</t>
  </si>
  <si>
    <t>BF384003751825179210</t>
  </si>
  <si>
    <t>BF384002355366269122</t>
  </si>
  <si>
    <t xml:space="preserve">GOZ 0021 </t>
  </si>
  <si>
    <t xml:space="preserve">GOZ 0022 </t>
  </si>
  <si>
    <t xml:space="preserve">GOZ 0024 </t>
  </si>
  <si>
    <t>7.03972</t>
  </si>
  <si>
    <t>-7.37989</t>
  </si>
  <si>
    <t>7.00887</t>
  </si>
  <si>
    <t>-7.42261</t>
  </si>
  <si>
    <t>6.96647</t>
  </si>
  <si>
    <t>-7.6984</t>
  </si>
  <si>
    <t>7.21966</t>
  </si>
  <si>
    <t>-7.78296</t>
  </si>
  <si>
    <t>7.21429</t>
  </si>
  <si>
    <t>-7.79746</t>
  </si>
  <si>
    <t>7.0322</t>
  </si>
  <si>
    <t>-7.787</t>
  </si>
  <si>
    <t>7.0309</t>
  </si>
  <si>
    <t>-7.7862</t>
  </si>
  <si>
    <t>7.0106</t>
  </si>
  <si>
    <t>-7.7762</t>
  </si>
  <si>
    <t>7.0886</t>
  </si>
  <si>
    <t>-7.7574</t>
  </si>
  <si>
    <t>7.17652</t>
  </si>
  <si>
    <t>-7.78613</t>
  </si>
  <si>
    <t>7.18602</t>
  </si>
  <si>
    <t>-7.78021</t>
  </si>
  <si>
    <t>7.0362</t>
  </si>
  <si>
    <t>-7.7721</t>
  </si>
  <si>
    <t>7.04483</t>
  </si>
  <si>
    <t>-7.77869</t>
  </si>
  <si>
    <t>7.17563</t>
  </si>
  <si>
    <t>-7.76776</t>
  </si>
  <si>
    <t>7.16516</t>
  </si>
  <si>
    <t>-7.75858</t>
  </si>
  <si>
    <t>7.16354</t>
  </si>
  <si>
    <t>-7.72914</t>
  </si>
  <si>
    <t>7.04262</t>
  </si>
  <si>
    <t>-7.68731</t>
  </si>
  <si>
    <t>7.04056</t>
  </si>
  <si>
    <t>-7.67853</t>
  </si>
  <si>
    <t>7.04423</t>
  </si>
  <si>
    <t>-7.68292</t>
  </si>
  <si>
    <t>7.16644</t>
  </si>
  <si>
    <t>-7.73961</t>
  </si>
  <si>
    <t>7.04807</t>
  </si>
  <si>
    <t>-7.67465</t>
  </si>
  <si>
    <t>7.0391</t>
  </si>
  <si>
    <t>-7.7863</t>
  </si>
  <si>
    <t>7.1454</t>
  </si>
  <si>
    <t>-7.71704</t>
  </si>
  <si>
    <t>7.13995</t>
  </si>
  <si>
    <t>-7.72674</t>
  </si>
  <si>
    <t>7.10299</t>
  </si>
  <si>
    <t>-7.71927</t>
  </si>
  <si>
    <t>7.03468</t>
  </si>
  <si>
    <t>-7.67683</t>
  </si>
  <si>
    <t>7.03148</t>
  </si>
  <si>
    <t>-7.67829</t>
  </si>
  <si>
    <t>7.03099</t>
  </si>
  <si>
    <t>-7.67347</t>
  </si>
  <si>
    <t>7.03055</t>
  </si>
  <si>
    <t>-7.66777</t>
  </si>
  <si>
    <t>7.03066</t>
  </si>
  <si>
    <t>-7.66181</t>
  </si>
  <si>
    <t>7.03416</t>
  </si>
  <si>
    <t>-7.65915</t>
  </si>
  <si>
    <t>7.03686</t>
  </si>
  <si>
    <t>-7.6585</t>
  </si>
  <si>
    <t>7.04116</t>
  </si>
  <si>
    <t>-7.65265</t>
  </si>
  <si>
    <t>7.03956</t>
  </si>
  <si>
    <t>-7.65071</t>
  </si>
  <si>
    <t>7.04153</t>
  </si>
  <si>
    <t>-7.65579</t>
  </si>
  <si>
    <t>7.03864</t>
  </si>
  <si>
    <t>-7.65621</t>
  </si>
  <si>
    <t>7.01545</t>
  </si>
  <si>
    <t>-7.67819</t>
  </si>
  <si>
    <t>7.00916</t>
  </si>
  <si>
    <t>-7.6843</t>
  </si>
  <si>
    <t>7.0712</t>
  </si>
  <si>
    <t>-7.69325</t>
  </si>
  <si>
    <t>7.09199</t>
  </si>
  <si>
    <t>-7.692</t>
  </si>
  <si>
    <t>7.05194</t>
  </si>
  <si>
    <t>-7.75535</t>
  </si>
  <si>
    <t>7.0374</t>
  </si>
  <si>
    <t>-7.7709</t>
  </si>
  <si>
    <t>7.041</t>
  </si>
  <si>
    <t>-7.7932</t>
  </si>
  <si>
    <t>7.0428</t>
  </si>
  <si>
    <t>-7.8094</t>
  </si>
  <si>
    <t>7.0445</t>
  </si>
  <si>
    <t>-7.8036</t>
  </si>
  <si>
    <t>7.0345</t>
  </si>
  <si>
    <t>-7.7656</t>
  </si>
  <si>
    <t>6.98978</t>
  </si>
  <si>
    <t>-7.97238</t>
  </si>
  <si>
    <t>6.98126</t>
  </si>
  <si>
    <t>-7.97968</t>
  </si>
  <si>
    <t>6.96908</t>
  </si>
  <si>
    <t>-7.97831</t>
  </si>
  <si>
    <t>7.02087</t>
  </si>
  <si>
    <t>-7.95067</t>
  </si>
  <si>
    <t>7.0444</t>
  </si>
  <si>
    <t>-7.7711</t>
  </si>
  <si>
    <t>7.02628</t>
  </si>
  <si>
    <t>-7.78069</t>
  </si>
  <si>
    <t>7.0503</t>
  </si>
  <si>
    <t>-7.7736</t>
  </si>
  <si>
    <t>7.0321</t>
  </si>
  <si>
    <t>-7.7648</t>
  </si>
  <si>
    <t>7.0582</t>
  </si>
  <si>
    <t>-7.7572</t>
  </si>
  <si>
    <t>7.025</t>
  </si>
  <si>
    <t>-7.7772</t>
  </si>
  <si>
    <t>7.10022</t>
  </si>
  <si>
    <t>-7.73639</t>
  </si>
  <si>
    <t>7.10161</t>
  </si>
  <si>
    <t>-7.73864</t>
  </si>
  <si>
    <t>7.10028</t>
  </si>
  <si>
    <t>-7.74149</t>
  </si>
  <si>
    <t>7.09817</t>
  </si>
  <si>
    <t>-7.73894</t>
  </si>
  <si>
    <t>7.0425</t>
  </si>
  <si>
    <t>-7.7748</t>
  </si>
  <si>
    <t>7.04</t>
  </si>
  <si>
    <t>-7.7676</t>
  </si>
  <si>
    <t>7.0135</t>
  </si>
  <si>
    <t>-7.7872</t>
  </si>
  <si>
    <t>7.0367</t>
  </si>
  <si>
    <t>-7.7768</t>
  </si>
  <si>
    <t>7.0354</t>
  </si>
  <si>
    <t>-7.7703</t>
  </si>
  <si>
    <t>7.06765</t>
  </si>
  <si>
    <t>-7.74246</t>
  </si>
  <si>
    <t>6.9711</t>
  </si>
  <si>
    <t>-7.7685</t>
  </si>
  <si>
    <t>7.0504</t>
  </si>
  <si>
    <t>-7.7727</t>
  </si>
  <si>
    <t>7.0302</t>
  </si>
  <si>
    <t>-7.7839</t>
  </si>
  <si>
    <t>7.0372</t>
  </si>
  <si>
    <t>-7.8014</t>
  </si>
  <si>
    <t>7.0691</t>
  </si>
  <si>
    <t>-7.7526</t>
  </si>
  <si>
    <t>7.0343</t>
  </si>
  <si>
    <t>-7.7628</t>
  </si>
  <si>
    <t>7.0472</t>
  </si>
  <si>
    <t>-7.7773</t>
  </si>
  <si>
    <t>7.0474</t>
  </si>
  <si>
    <t>-7.7732</t>
  </si>
  <si>
    <t>7.09119</t>
  </si>
  <si>
    <t>-7.75077</t>
  </si>
  <si>
    <t>7.0402</t>
  </si>
  <si>
    <t>-7.7706</t>
  </si>
  <si>
    <t>7.0398</t>
  </si>
  <si>
    <t>-7.7661</t>
  </si>
  <si>
    <t>7.0415</t>
  </si>
  <si>
    <t>-7.7764</t>
  </si>
  <si>
    <t>6.89487</t>
  </si>
  <si>
    <t>-7.80227</t>
  </si>
  <si>
    <t>7.074</t>
  </si>
  <si>
    <t>-7.7893</t>
  </si>
  <si>
    <t>7.0039</t>
  </si>
  <si>
    <t>-7.7784</t>
  </si>
  <si>
    <t>7.0136</t>
  </si>
  <si>
    <t>-7.7771</t>
  </si>
  <si>
    <t>6.88668</t>
  </si>
  <si>
    <t>-7.83849</t>
  </si>
  <si>
    <t>6.88302</t>
  </si>
  <si>
    <t>-7.83128</t>
  </si>
  <si>
    <t>7.0171</t>
  </si>
  <si>
    <t>-7.7892</t>
  </si>
  <si>
    <t>6.9919</t>
  </si>
  <si>
    <t>-7.7729</t>
  </si>
  <si>
    <t>7.077</t>
  </si>
  <si>
    <t>-7.7524</t>
  </si>
  <si>
    <t>7.0817</t>
  </si>
  <si>
    <t>-7.7682</t>
  </si>
  <si>
    <t>7.0842</t>
  </si>
  <si>
    <t>-7.7612</t>
  </si>
  <si>
    <t>7.0773</t>
  </si>
  <si>
    <t>-7.7528</t>
  </si>
  <si>
    <t>6.96584</t>
  </si>
  <si>
    <t>-7.89436</t>
  </si>
  <si>
    <t>6.95672</t>
  </si>
  <si>
    <t>-7.93007</t>
  </si>
  <si>
    <t>6.98603</t>
  </si>
  <si>
    <t>-7.93419</t>
  </si>
  <si>
    <t>7.0922</t>
  </si>
  <si>
    <t>-7.7555</t>
  </si>
  <si>
    <t>7.059</t>
  </si>
  <si>
    <t>-7.7348</t>
  </si>
  <si>
    <t>7.0487</t>
  </si>
  <si>
    <t>-7.7751</t>
  </si>
  <si>
    <t>7.0356</t>
  </si>
  <si>
    <t>-7.7823</t>
  </si>
  <si>
    <t>6.94786</t>
  </si>
  <si>
    <t>-7.79489</t>
  </si>
  <si>
    <t>7.0179</t>
  </si>
  <si>
    <t>-7.7624</t>
  </si>
  <si>
    <t>7.0227</t>
  </si>
  <si>
    <t>-7.7616</t>
  </si>
  <si>
    <t>7.0333</t>
  </si>
  <si>
    <t>-7.7651</t>
  </si>
  <si>
    <t>7.0019</t>
  </si>
  <si>
    <t>-7.7814</t>
  </si>
  <si>
    <t>7.02488</t>
  </si>
  <si>
    <t>-7.91513</t>
  </si>
  <si>
    <t>7.0334</t>
  </si>
  <si>
    <t>-7.7233</t>
  </si>
  <si>
    <t>7.0219</t>
  </si>
  <si>
    <t>-7.7312</t>
  </si>
  <si>
    <t>6.91591</t>
  </si>
  <si>
    <t>-7.80699</t>
  </si>
  <si>
    <t>7.0457</t>
  </si>
  <si>
    <t>-7.7669</t>
  </si>
  <si>
    <t>7.0438</t>
  </si>
  <si>
    <t>-7.7657</t>
  </si>
  <si>
    <t>7.0224</t>
  </si>
  <si>
    <t>-7.7858</t>
  </si>
  <si>
    <t>7.0689</t>
  </si>
  <si>
    <t>-7.755</t>
  </si>
  <si>
    <t>7.0777</t>
  </si>
  <si>
    <t>-7.7667</t>
  </si>
  <si>
    <t>7.0467</t>
  </si>
  <si>
    <t>-7.7723</t>
  </si>
  <si>
    <t>6.93798</t>
  </si>
  <si>
    <t>-7.82038</t>
  </si>
  <si>
    <t>7.0373</t>
  </si>
  <si>
    <t>-7.7655</t>
  </si>
  <si>
    <t>7.0349</t>
  </si>
  <si>
    <t>-7.7659</t>
  </si>
  <si>
    <t>7.0339</t>
  </si>
  <si>
    <t>-7.7678</t>
  </si>
  <si>
    <t>7.0377</t>
  </si>
  <si>
    <t>-7.7741</t>
  </si>
  <si>
    <t>6.91199</t>
  </si>
  <si>
    <t>-7.82321</t>
  </si>
  <si>
    <t>7.013</t>
  </si>
  <si>
    <t>-7.7645</t>
  </si>
  <si>
    <t>7.0482</t>
  </si>
  <si>
    <t>-7.768</t>
  </si>
  <si>
    <t>7.0172</t>
  </si>
  <si>
    <t>-7.7642</t>
  </si>
  <si>
    <t>7.0501</t>
  </si>
  <si>
    <t>-7.7701</t>
  </si>
  <si>
    <t>7.0379</t>
  </si>
  <si>
    <t>-7.7758</t>
  </si>
  <si>
    <t>7.052</t>
  </si>
  <si>
    <t>-7.764</t>
  </si>
  <si>
    <t>7.0413</t>
  </si>
  <si>
    <t>-7.763</t>
  </si>
  <si>
    <t>7.0233</t>
  </si>
  <si>
    <t>-7.7832</t>
  </si>
  <si>
    <t>6.9321</t>
  </si>
  <si>
    <t>-7.77789</t>
  </si>
  <si>
    <t>7.0492</t>
  </si>
  <si>
    <t>-7.8104</t>
  </si>
  <si>
    <t>7.0396</t>
  </si>
  <si>
    <t>-7.7653</t>
  </si>
  <si>
    <t>7.0401</t>
  </si>
  <si>
    <t>-7.7859</t>
  </si>
  <si>
    <t>7.0109</t>
  </si>
  <si>
    <t>-7.7888</t>
  </si>
  <si>
    <t>7.0729</t>
  </si>
  <si>
    <t>-7.7404</t>
  </si>
  <si>
    <t>7.079</t>
  </si>
  <si>
    <t>-7.7756</t>
  </si>
  <si>
    <t>7.049</t>
  </si>
  <si>
    <t>-7.7867</t>
  </si>
  <si>
    <t>7.0538</t>
  </si>
  <si>
    <t>-7.765</t>
  </si>
  <si>
    <t>7.0459</t>
  </si>
  <si>
    <t>-7.7553</t>
  </si>
  <si>
    <t>7.0486</t>
  </si>
  <si>
    <t>-7.7664</t>
  </si>
  <si>
    <t>7.0525</t>
  </si>
  <si>
    <t>-7.7519</t>
  </si>
  <si>
    <t>6.93947</t>
  </si>
  <si>
    <t>-7.80715</t>
  </si>
  <si>
    <t>7.1592</t>
  </si>
  <si>
    <t>-7.58575</t>
  </si>
  <si>
    <t>7.11395</t>
  </si>
  <si>
    <t>-7.72826</t>
  </si>
  <si>
    <t>7.11714</t>
  </si>
  <si>
    <t>-7.72795</t>
  </si>
  <si>
    <t>7.0697</t>
  </si>
  <si>
    <t>-7.7515</t>
  </si>
  <si>
    <t>6.9896</t>
  </si>
  <si>
    <t>-7.72364</t>
  </si>
  <si>
    <t>7.1021</t>
  </si>
  <si>
    <t>-7.7826</t>
  </si>
  <si>
    <t>7.1035</t>
  </si>
  <si>
    <t>-7.778</t>
  </si>
  <si>
    <t>6.97803</t>
  </si>
  <si>
    <t>-7.47311</t>
  </si>
  <si>
    <t>6.98574</t>
  </si>
  <si>
    <t>-7.63236</t>
  </si>
  <si>
    <t>7.11136</t>
  </si>
  <si>
    <t>-7.73578</t>
  </si>
  <si>
    <t>7.10859</t>
  </si>
  <si>
    <t>-7.73554</t>
  </si>
  <si>
    <t>7.11681</t>
  </si>
  <si>
    <t>-7.60517</t>
  </si>
  <si>
    <t>6.92791</t>
  </si>
  <si>
    <t>-7.83046</t>
  </si>
  <si>
    <t>7.1089</t>
  </si>
  <si>
    <t>-7.73117</t>
  </si>
  <si>
    <t>7.10895</t>
  </si>
  <si>
    <t>-7.72874</t>
  </si>
  <si>
    <t>7.11239</t>
  </si>
  <si>
    <t>-7.72522</t>
  </si>
  <si>
    <t>7.0607</t>
  </si>
  <si>
    <t>-7.7433</t>
  </si>
  <si>
    <t>7.0874</t>
  </si>
  <si>
    <t>-7.68605</t>
  </si>
  <si>
    <t>7.0972</t>
  </si>
  <si>
    <t>-7.66932</t>
  </si>
  <si>
    <t>7.12258</t>
  </si>
  <si>
    <t>-7.71034</t>
  </si>
  <si>
    <t>7.11713</t>
  </si>
  <si>
    <t>-7.71378</t>
  </si>
  <si>
    <t>6.90313</t>
  </si>
  <si>
    <t>-7.84501</t>
  </si>
  <si>
    <t>7.1206</t>
  </si>
  <si>
    <t>-7.784</t>
  </si>
  <si>
    <t>7.1236</t>
  </si>
  <si>
    <t>-7.7724</t>
  </si>
  <si>
    <t>7.15068</t>
  </si>
  <si>
    <t>-7.73197</t>
  </si>
  <si>
    <t>7.13441</t>
  </si>
  <si>
    <t>-7.70785</t>
  </si>
  <si>
    <t>7.1391</t>
  </si>
  <si>
    <t>-7.8005</t>
  </si>
  <si>
    <t>7.1399</t>
  </si>
  <si>
    <t>-7.7995</t>
  </si>
  <si>
    <t>7.0925</t>
  </si>
  <si>
    <t>-7.7636</t>
  </si>
  <si>
    <t>7.0953</t>
  </si>
  <si>
    <t>-7.7623</t>
  </si>
  <si>
    <t>7.0954</t>
  </si>
  <si>
    <t>-7.7665</t>
  </si>
  <si>
    <t>7.0916</t>
  </si>
  <si>
    <t>-7.8037</t>
  </si>
  <si>
    <t>7.1218</t>
  </si>
  <si>
    <t>-7.7726</t>
  </si>
  <si>
    <t>7.1287</t>
  </si>
  <si>
    <t>-7.7452</t>
  </si>
  <si>
    <t>7.0995</t>
  </si>
  <si>
    <t>-7.7516</t>
  </si>
  <si>
    <t>7.1303</t>
  </si>
  <si>
    <t>-7.7508</t>
  </si>
  <si>
    <t>7.11492</t>
  </si>
  <si>
    <t>-7.73153</t>
  </si>
  <si>
    <t>7.1079</t>
  </si>
  <si>
    <t>-7.7461</t>
  </si>
  <si>
    <t>7.0913</t>
  </si>
  <si>
    <t>-7.7449</t>
  </si>
  <si>
    <t>7.0828</t>
  </si>
  <si>
    <t>-7.7561</t>
  </si>
  <si>
    <t>7.1326</t>
  </si>
  <si>
    <t>-7.7626</t>
  </si>
  <si>
    <t>7.0806</t>
  </si>
  <si>
    <t>-7.7728</t>
  </si>
  <si>
    <t>7.0882</t>
  </si>
  <si>
    <t>-7.7603</t>
  </si>
  <si>
    <t>7.0512</t>
  </si>
  <si>
    <t>-7.779</t>
  </si>
  <si>
    <t>7.11648</t>
  </si>
  <si>
    <t>-7.7356</t>
  </si>
  <si>
    <t>7.09132</t>
  </si>
  <si>
    <t>-7.68125</t>
  </si>
  <si>
    <t>7.06227</t>
  </si>
  <si>
    <t>-7.76567</t>
  </si>
  <si>
    <t>7.12058</t>
  </si>
  <si>
    <t>-7.73736</t>
  </si>
  <si>
    <t>7.047662</t>
  </si>
  <si>
    <t>-7.770008</t>
  </si>
  <si>
    <t>7.04131</t>
  </si>
  <si>
    <t>-7.780017</t>
  </si>
  <si>
    <t>7.049167</t>
  </si>
  <si>
    <t>-7.769199</t>
  </si>
  <si>
    <t>7.12166</t>
  </si>
  <si>
    <t>-7.73615</t>
  </si>
  <si>
    <t>7.026105</t>
  </si>
  <si>
    <t>-7.777334</t>
  </si>
  <si>
    <t>7.08547</t>
  </si>
  <si>
    <t>-7.6868</t>
  </si>
  <si>
    <t>7.06344</t>
  </si>
  <si>
    <t>-7.67615</t>
  </si>
  <si>
    <t>7.032424</t>
  </si>
  <si>
    <t>-7.793558</t>
  </si>
  <si>
    <t>7.14414</t>
  </si>
  <si>
    <t>-7.71862</t>
  </si>
  <si>
    <t>7.039629</t>
  </si>
  <si>
    <t>-7.788637</t>
  </si>
  <si>
    <t>7.12214</t>
  </si>
  <si>
    <t>-7.74306</t>
  </si>
  <si>
    <t>7.12335</t>
  </si>
  <si>
    <t>-7.75375</t>
  </si>
  <si>
    <t>6.95836</t>
  </si>
  <si>
    <t>-7.757034</t>
  </si>
  <si>
    <t>7.12076</t>
  </si>
  <si>
    <t>-7.75174</t>
  </si>
  <si>
    <t>7.041263</t>
  </si>
  <si>
    <t>-7.764414</t>
  </si>
  <si>
    <t>7.05357</t>
  </si>
  <si>
    <t>-7.71393</t>
  </si>
  <si>
    <t>7.12229</t>
  </si>
  <si>
    <t>-7.75302</t>
  </si>
  <si>
    <t>7.11823</t>
  </si>
  <si>
    <t>-7.74998</t>
  </si>
  <si>
    <t>7.01887</t>
  </si>
  <si>
    <t>-7.44592</t>
  </si>
  <si>
    <t>7.08441</t>
  </si>
  <si>
    <t>-7.41096</t>
  </si>
  <si>
    <t>7.18076</t>
  </si>
  <si>
    <t>-7.70228</t>
  </si>
  <si>
    <t>7.12295</t>
  </si>
  <si>
    <t>-7.6479</t>
  </si>
  <si>
    <t>7.01116</t>
  </si>
  <si>
    <t>-7.67509</t>
  </si>
  <si>
    <t>7.11829</t>
  </si>
  <si>
    <t>-7.74586</t>
  </si>
  <si>
    <t>7.10703</t>
  </si>
  <si>
    <t>-7.74507</t>
  </si>
  <si>
    <t>7.10751</t>
  </si>
  <si>
    <t>-7.74337</t>
  </si>
  <si>
    <t>7.10938</t>
  </si>
  <si>
    <t>-7.7444</t>
  </si>
  <si>
    <t>7.10962</t>
  </si>
  <si>
    <t>-7.74228</t>
  </si>
  <si>
    <t>7.10835</t>
  </si>
  <si>
    <t>-7.74088</t>
  </si>
  <si>
    <t>7.10642</t>
  </si>
  <si>
    <t>-7.74179</t>
  </si>
  <si>
    <t>7.10582</t>
  </si>
  <si>
    <t>-7.74373</t>
  </si>
  <si>
    <t>7.10498</t>
  </si>
  <si>
    <t>-7.74264</t>
  </si>
  <si>
    <t>7.10504</t>
  </si>
  <si>
    <t>-7.74082</t>
  </si>
  <si>
    <t>7.10932</t>
  </si>
  <si>
    <t>-7.73851</t>
  </si>
  <si>
    <t>7.11058</t>
  </si>
  <si>
    <t>-7.73954</t>
  </si>
  <si>
    <t>7.11769</t>
  </si>
  <si>
    <t>-7.74392</t>
  </si>
  <si>
    <t>7.11247</t>
  </si>
  <si>
    <t>-7.73942</t>
  </si>
  <si>
    <t>7.11197</t>
  </si>
  <si>
    <t>-7.74203</t>
  </si>
  <si>
    <t>7.11624</t>
  </si>
  <si>
    <t>-7.7424</t>
  </si>
  <si>
    <t>7.11678</t>
  </si>
  <si>
    <t>-7.73918</t>
  </si>
  <si>
    <t>7.11307</t>
  </si>
  <si>
    <t>-7.58472</t>
  </si>
  <si>
    <t>7.11017</t>
  </si>
  <si>
    <t>-7.59697</t>
  </si>
  <si>
    <t>7.10564</t>
  </si>
  <si>
    <t>-7.60778</t>
  </si>
  <si>
    <t>7.0984</t>
  </si>
  <si>
    <t>-7.61515</t>
  </si>
  <si>
    <t>7.10989</t>
  </si>
  <si>
    <t>-7.61531</t>
  </si>
  <si>
    <t>7.09138</t>
  </si>
  <si>
    <t>-7.61034</t>
  </si>
  <si>
    <t>7.08458</t>
  </si>
  <si>
    <t>-7.61715</t>
  </si>
  <si>
    <t>7.08717</t>
  </si>
  <si>
    <t>-7.60346</t>
  </si>
  <si>
    <t>7.08367</t>
  </si>
  <si>
    <t>-7.59058</t>
  </si>
  <si>
    <t>7.09281</t>
  </si>
  <si>
    <t>-7.57607</t>
  </si>
  <si>
    <t>7.09265</t>
  </si>
  <si>
    <t>-7.56005</t>
  </si>
  <si>
    <t>7.10282</t>
  </si>
  <si>
    <t>-7.57903</t>
  </si>
  <si>
    <t>7.09853</t>
  </si>
  <si>
    <t>-7.59048</t>
  </si>
  <si>
    <t>7.09829</t>
  </si>
  <si>
    <t>-7.60185</t>
  </si>
  <si>
    <t>7.07834</t>
  </si>
  <si>
    <t>-7.60378</t>
  </si>
  <si>
    <t>7.09472</t>
  </si>
  <si>
    <t>-7.63893</t>
  </si>
  <si>
    <t>7.11466</t>
  </si>
  <si>
    <t>-7.64021</t>
  </si>
  <si>
    <t>7.11077</t>
  </si>
  <si>
    <t>-7.50455</t>
  </si>
  <si>
    <t>7.1354</t>
  </si>
  <si>
    <t>-7.47076</t>
  </si>
  <si>
    <t>7.15145</t>
  </si>
  <si>
    <t>-7.46844</t>
  </si>
  <si>
    <t>7.21208</t>
  </si>
  <si>
    <t>-7.44257</t>
  </si>
  <si>
    <t>7.24394</t>
  </si>
  <si>
    <t>-7.44954</t>
  </si>
  <si>
    <t>7.22956</t>
  </si>
  <si>
    <t>-7.45034</t>
  </si>
  <si>
    <t>7.28207</t>
  </si>
  <si>
    <t>-7.47789</t>
  </si>
  <si>
    <t>7.29152</t>
  </si>
  <si>
    <t>-7.49302</t>
  </si>
  <si>
    <t>7.20596</t>
  </si>
  <si>
    <t>-7.65815</t>
  </si>
  <si>
    <t>7.20567</t>
  </si>
  <si>
    <t>-7.65906</t>
  </si>
  <si>
    <t>7.20463</t>
  </si>
  <si>
    <t>-7.66002</t>
  </si>
  <si>
    <t>7.20397</t>
  </si>
  <si>
    <t>-7.65885</t>
  </si>
  <si>
    <t>7.20365</t>
  </si>
  <si>
    <t>-7.65712</t>
  </si>
  <si>
    <t>7.2049</t>
  </si>
  <si>
    <t>-7.65635</t>
  </si>
  <si>
    <t>7.20598</t>
  </si>
  <si>
    <t>-7.65696</t>
  </si>
  <si>
    <t>7.2015</t>
  </si>
  <si>
    <t>-7.65735</t>
  </si>
  <si>
    <t>7.20244</t>
  </si>
  <si>
    <t>-7.654</t>
  </si>
  <si>
    <t>7.20348</t>
  </si>
  <si>
    <t>-7.65534</t>
  </si>
  <si>
    <t>7.19972</t>
  </si>
  <si>
    <t>-7.65457</t>
  </si>
  <si>
    <t>7.19755</t>
  </si>
  <si>
    <t>-7.65732</t>
  </si>
  <si>
    <t>7.19928</t>
  </si>
  <si>
    <t>-7.65843</t>
  </si>
  <si>
    <t>7.19772</t>
  </si>
  <si>
    <t>-7.65267</t>
  </si>
  <si>
    <t>7.19543</t>
  </si>
  <si>
    <t>-7.65572</t>
  </si>
  <si>
    <t>7.19802</t>
  </si>
  <si>
    <t>-7.65546</t>
  </si>
  <si>
    <t>7.19978</t>
  </si>
  <si>
    <t>-7.64963</t>
  </si>
  <si>
    <t>7.20201</t>
  </si>
  <si>
    <t>-7.65062</t>
  </si>
  <si>
    <t>7.20024</t>
  </si>
  <si>
    <t>-7.65203</t>
  </si>
  <si>
    <t>7.19742</t>
  </si>
  <si>
    <t>-7.64884</t>
  </si>
  <si>
    <t>7.19981</t>
  </si>
  <si>
    <t>-7.64619</t>
  </si>
  <si>
    <t>7.19989</t>
  </si>
  <si>
    <t>-7.6426</t>
  </si>
  <si>
    <t>7.20094</t>
  </si>
  <si>
    <t>-7.63882</t>
  </si>
  <si>
    <t>7.19836</t>
  </si>
  <si>
    <t>-7.63922</t>
  </si>
  <si>
    <t>7.20359</t>
  </si>
  <si>
    <t>-7.64198</t>
  </si>
  <si>
    <t>7.20481</t>
  </si>
  <si>
    <t>-7.64432</t>
  </si>
  <si>
    <t>7.20487</t>
  </si>
  <si>
    <t>-7.64697</t>
  </si>
  <si>
    <t>7.20541</t>
  </si>
  <si>
    <t>-7.64944</t>
  </si>
  <si>
    <t>7.2046</t>
  </si>
  <si>
    <t>-7.65284</t>
  </si>
  <si>
    <t>7.20806</t>
  </si>
  <si>
    <t>-7.65211</t>
  </si>
  <si>
    <t>7.0757</t>
  </si>
  <si>
    <t>-7.68159</t>
  </si>
  <si>
    <t>7.058319</t>
  </si>
  <si>
    <t>-7.762947</t>
  </si>
  <si>
    <t>7.047775</t>
  </si>
  <si>
    <t>-7.783993</t>
  </si>
  <si>
    <t>7.038895</t>
  </si>
  <si>
    <t>-7.783521</t>
  </si>
  <si>
    <t>7.12807</t>
  </si>
  <si>
    <t>-7.70503</t>
  </si>
  <si>
    <t>7.11901</t>
  </si>
  <si>
    <t>-7.7048</t>
  </si>
  <si>
    <t>7.11503</t>
  </si>
  <si>
    <t>-7.70922</t>
  </si>
  <si>
    <t>7.13582</t>
  </si>
  <si>
    <t>-7.70718</t>
  </si>
  <si>
    <t>7.13032</t>
  </si>
  <si>
    <t>-7.70877</t>
  </si>
  <si>
    <t>7.13122</t>
  </si>
  <si>
    <t>-7.71885</t>
  </si>
  <si>
    <t>7.12155</t>
  </si>
  <si>
    <t>-7.71681</t>
  </si>
  <si>
    <t>7.14418</t>
  </si>
  <si>
    <t>-7.71873</t>
  </si>
  <si>
    <t>7.12447</t>
  </si>
  <si>
    <t>-7.64025</t>
  </si>
  <si>
    <t>7.13065</t>
  </si>
  <si>
    <t>-7.65848</t>
  </si>
  <si>
    <t>7.15481</t>
  </si>
  <si>
    <t>-7.61205</t>
  </si>
  <si>
    <t>7.14272</t>
  </si>
  <si>
    <t>-7.61964</t>
  </si>
  <si>
    <t>7.056364</t>
  </si>
  <si>
    <t>-7.770289</t>
  </si>
  <si>
    <t>7.057556</t>
  </si>
  <si>
    <t>-7.767022</t>
  </si>
  <si>
    <t>7.057609</t>
  </si>
  <si>
    <t>-7.762608</t>
  </si>
  <si>
    <t>7.069692</t>
  </si>
  <si>
    <t>-7.762148</t>
  </si>
  <si>
    <t>7.11717</t>
  </si>
  <si>
    <t>-7.62632</t>
  </si>
  <si>
    <t>7.10795</t>
  </si>
  <si>
    <t>-7.62587</t>
  </si>
  <si>
    <t>7.028658</t>
  </si>
  <si>
    <t>-7.783334</t>
  </si>
  <si>
    <t>BF384006234125723329</t>
  </si>
  <si>
    <t>C0090292000</t>
  </si>
  <si>
    <t>CI000507054</t>
  </si>
  <si>
    <t>BF384007132746684895</t>
  </si>
  <si>
    <t>BF384004685659184984</t>
  </si>
  <si>
    <t>BF384005448111377476</t>
  </si>
  <si>
    <t>BF384004538746132845</t>
  </si>
  <si>
    <t>BF384002628225491534</t>
  </si>
  <si>
    <t>CI000277736</t>
  </si>
  <si>
    <t>BF384008728242434558</t>
  </si>
  <si>
    <t>BF384009338678593755</t>
  </si>
  <si>
    <t>BF384007244495323627</t>
  </si>
  <si>
    <t>BF384004742358961631</t>
  </si>
  <si>
    <t>BF384004232921331283</t>
  </si>
  <si>
    <t>BF384009141311675911</t>
  </si>
  <si>
    <t>BF384008457316131589</t>
  </si>
  <si>
    <t>BF384006879194339794</t>
  </si>
  <si>
    <t>BF384005458191596559</t>
  </si>
  <si>
    <t>BF38400421488621788</t>
  </si>
  <si>
    <t>C0045434563</t>
  </si>
  <si>
    <t>BF384008891329979633</t>
  </si>
  <si>
    <t>BF384003326417379631</t>
  </si>
  <si>
    <t>BF384001551234738299</t>
  </si>
  <si>
    <t>BF384001341834751868</t>
  </si>
  <si>
    <t>BF384008337283659394</t>
  </si>
  <si>
    <t>BF384003199838557243</t>
  </si>
  <si>
    <t>BF384002164853511571</t>
  </si>
  <si>
    <t>BF384003495759377248</t>
  </si>
  <si>
    <t>CI005922911</t>
  </si>
  <si>
    <t>BF384009597394749751</t>
  </si>
  <si>
    <t>BF384009555541729782</t>
  </si>
  <si>
    <t>BF384006127174498642</t>
  </si>
  <si>
    <t>BF384008529416453284</t>
  </si>
  <si>
    <t>BF384007667825354372</t>
  </si>
  <si>
    <t>BF384006972477778387</t>
  </si>
  <si>
    <t>BF384004965122433717</t>
  </si>
  <si>
    <t>BF384006197931731871</t>
  </si>
  <si>
    <t>BF384003725467399846</t>
  </si>
  <si>
    <t>BF384002692846377115</t>
  </si>
  <si>
    <t>BF384002891644397176</t>
  </si>
  <si>
    <t>BF384008215882662731</t>
  </si>
  <si>
    <t>BF384001467712675746</t>
  </si>
  <si>
    <t>BF384004997995361222</t>
  </si>
  <si>
    <t>BF384008343535916944</t>
  </si>
  <si>
    <t>BF384004891972357592</t>
  </si>
  <si>
    <t>BF384008155919824448</t>
  </si>
  <si>
    <t>BF384009828451629534</t>
  </si>
  <si>
    <t>BF384008196468567191</t>
  </si>
  <si>
    <t>BF384005554388512113</t>
  </si>
  <si>
    <t>BF384005423935214945</t>
  </si>
  <si>
    <t>BF384006468917439321</t>
  </si>
  <si>
    <t>BF384002792814614226</t>
  </si>
  <si>
    <t>BF384001983436252879</t>
  </si>
  <si>
    <t>BF384006569443265476</t>
  </si>
  <si>
    <t>BF384001563133598837</t>
  </si>
  <si>
    <t>BF384006442665125455</t>
  </si>
  <si>
    <t>CI001239763</t>
  </si>
  <si>
    <t>C0097692973</t>
  </si>
  <si>
    <t>C0053889270</t>
  </si>
  <si>
    <t>C0025278313</t>
  </si>
  <si>
    <t>CI008395918</t>
  </si>
  <si>
    <t>CI006914278</t>
  </si>
  <si>
    <t>C0011676489</t>
  </si>
  <si>
    <t>C0055037740</t>
  </si>
  <si>
    <t>C0035688713</t>
  </si>
  <si>
    <t>C0001482475</t>
  </si>
  <si>
    <t>C0055689457</t>
  </si>
  <si>
    <t>C0000263788</t>
  </si>
  <si>
    <t>C0051905912</t>
  </si>
  <si>
    <t>C0002475570</t>
  </si>
  <si>
    <t>C0064279483</t>
  </si>
  <si>
    <t>C0001885962</t>
  </si>
  <si>
    <t>C0000963853</t>
  </si>
  <si>
    <t>C0043259467</t>
  </si>
  <si>
    <t>C0067320370</t>
  </si>
  <si>
    <t>C0088617815</t>
  </si>
  <si>
    <t>C0016144930</t>
  </si>
  <si>
    <t>C0027669305</t>
  </si>
  <si>
    <t>C0044103909</t>
  </si>
  <si>
    <t>C0062542556</t>
  </si>
  <si>
    <t>C0081879663</t>
  </si>
  <si>
    <t>C0027377552</t>
  </si>
  <si>
    <t>C0097769989</t>
  </si>
  <si>
    <t>C0001809256</t>
  </si>
  <si>
    <t>C0047508195</t>
  </si>
  <si>
    <t>C0054564652</t>
  </si>
  <si>
    <t>C0056913583</t>
  </si>
  <si>
    <t>BF384006851246813687</t>
  </si>
  <si>
    <t>BF384008192284683167</t>
  </si>
  <si>
    <t>C0040709352</t>
  </si>
  <si>
    <t>C0059291366</t>
  </si>
  <si>
    <t>BF384005329153196194</t>
  </si>
  <si>
    <t>C0019378331</t>
  </si>
  <si>
    <t>C0008932910</t>
  </si>
  <si>
    <t>C0005164422</t>
  </si>
  <si>
    <t>C0008776787</t>
  </si>
  <si>
    <t>C0041778411</t>
  </si>
  <si>
    <t>C0096807985</t>
  </si>
  <si>
    <t>C0043912105</t>
  </si>
  <si>
    <t>C0065333025</t>
  </si>
  <si>
    <t>C0086526714</t>
  </si>
  <si>
    <t>C0002017137</t>
  </si>
  <si>
    <t>C0091494528</t>
  </si>
  <si>
    <t>C0059402860</t>
  </si>
  <si>
    <t>C0052368236</t>
  </si>
  <si>
    <t>C0074595142</t>
  </si>
  <si>
    <t>C0074363611</t>
  </si>
  <si>
    <t>C0093559761</t>
  </si>
  <si>
    <t>C0026982848</t>
  </si>
  <si>
    <t>C0006356815</t>
  </si>
  <si>
    <t>C0087333806</t>
  </si>
  <si>
    <t>C0085395782</t>
  </si>
  <si>
    <t>C0094244970</t>
  </si>
  <si>
    <t>C0009750906</t>
  </si>
  <si>
    <t>C0048393240</t>
  </si>
  <si>
    <t>BF384003473935427254</t>
  </si>
  <si>
    <t>C0035139878</t>
  </si>
  <si>
    <t>BF384004433432515832</t>
  </si>
  <si>
    <t>C0003654177</t>
  </si>
  <si>
    <t>C0020415211</t>
  </si>
  <si>
    <t>C0003187530</t>
  </si>
  <si>
    <t>redement volume recolté l'an préced</t>
  </si>
  <si>
    <t>redement volume Livré l'an préced</t>
  </si>
  <si>
    <t>Volume produit livré l'an préced</t>
  </si>
  <si>
    <t>Rendement Volume estimé année en cours</t>
  </si>
  <si>
    <t>% d'augmentation de l'estimation année en cours</t>
  </si>
  <si>
    <t>Estimation année en cours de plus de 15%</t>
  </si>
  <si>
    <t>Estimation année en cours de moins de 15%</t>
  </si>
  <si>
    <t>Rdmt an préced du volum produit précedent sup à 650 kg/ha</t>
  </si>
  <si>
    <t>Rendement du volume estimé année en cours supérieur à 747,5 kg/ha</t>
  </si>
  <si>
    <t>Mauvaise estimation</t>
  </si>
  <si>
    <t/>
  </si>
  <si>
    <t>sous-estimation</t>
  </si>
</sst>
</file>

<file path=xl/styles.xml><?xml version="1.0" encoding="utf-8"?>
<styleSheet xmlns="http://schemas.openxmlformats.org/spreadsheetml/2006/main">
  <numFmts count="8">
    <numFmt numFmtId="164" formatCode="_(* #,##0.00_);_(* \(#,##0.00\);_(* &quot;-&quot;??_);_(@_)"/>
    <numFmt numFmtId="165" formatCode="#,##0;[Red]#,##0"/>
    <numFmt numFmtId="166" formatCode="0.000000"/>
    <numFmt numFmtId="167" formatCode="0.000"/>
    <numFmt numFmtId="168" formatCode="_(* #,##0.0_);_(* \(#,##0.0\);_(* &quot;-&quot;??_);_(@_)"/>
    <numFmt numFmtId="169" formatCode="_(* #,##0_);_(* \(#,##0\);_(* &quot;-&quot;??_);_(@_)"/>
    <numFmt numFmtId="170" formatCode="0.0000"/>
    <numFmt numFmtId="171" formatCode="d/m/yyyy"/>
  </numFmts>
  <fonts count="61">
    <font>
      <sz val="11"/>
      <color theme="1"/>
      <name val="Calibri"/>
      <family val="2"/>
      <charset val="16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0"/>
      <color theme="1"/>
      <name val="Corbel"/>
      <family val="2"/>
    </font>
    <font>
      <sz val="10"/>
      <name val="Corbel"/>
      <family val="2"/>
    </font>
    <font>
      <b/>
      <sz val="10"/>
      <name val="Century Gothic"/>
      <family val="2"/>
    </font>
    <font>
      <sz val="10"/>
      <color theme="1"/>
      <name val="Calibri"/>
      <family val="2"/>
      <charset val="162"/>
      <scheme val="minor"/>
    </font>
    <font>
      <sz val="10"/>
      <color theme="1"/>
      <name val="Century Gothic"/>
      <family val="2"/>
    </font>
    <font>
      <b/>
      <sz val="10"/>
      <color theme="1"/>
      <name val="Century Gothic"/>
      <family val="2"/>
    </font>
    <font>
      <sz val="10"/>
      <color rgb="FF000000"/>
      <name val="Century Gothic"/>
      <family val="2"/>
    </font>
    <font>
      <sz val="11"/>
      <color theme="1"/>
      <name val="Calibri"/>
      <family val="2"/>
      <charset val="162"/>
      <scheme val="minor"/>
    </font>
    <font>
      <b/>
      <sz val="15"/>
      <color theme="3"/>
      <name val="Calibri"/>
      <family val="2"/>
      <scheme val="minor"/>
    </font>
    <font>
      <sz val="11"/>
      <color theme="1"/>
      <name val="Century Gothic"/>
      <family val="2"/>
    </font>
    <font>
      <b/>
      <sz val="11"/>
      <color theme="1"/>
      <name val="Century Gothic"/>
      <family val="2"/>
    </font>
    <font>
      <b/>
      <sz val="11"/>
      <color theme="0"/>
      <name val="Century Gothic"/>
      <family val="2"/>
    </font>
    <font>
      <b/>
      <sz val="14"/>
      <color theme="1"/>
      <name val="Century Gothic"/>
      <family val="2"/>
    </font>
    <font>
      <sz val="8"/>
      <name val="Calibri"/>
      <family val="2"/>
      <charset val="162"/>
      <scheme val="minor"/>
    </font>
    <font>
      <b/>
      <sz val="11"/>
      <color theme="1"/>
      <name val="Calibri"/>
      <family val="2"/>
      <scheme val="minor"/>
    </font>
    <font>
      <b/>
      <sz val="11"/>
      <color rgb="FF000000"/>
      <name val="Calibri"/>
      <family val="2"/>
      <scheme val="minor"/>
    </font>
    <font>
      <b/>
      <sz val="11"/>
      <name val="Calibri"/>
      <family val="2"/>
      <scheme val="minor"/>
    </font>
    <font>
      <b/>
      <sz val="11"/>
      <color rgb="FFFF0000"/>
      <name val="Calibri"/>
      <family val="2"/>
      <scheme val="minor"/>
    </font>
    <font>
      <sz val="11"/>
      <name val="Calibri"/>
      <family val="2"/>
      <scheme val="minor"/>
    </font>
    <font>
      <b/>
      <sz val="36"/>
      <color rgb="FF175259"/>
      <name val="Century Gothic"/>
      <family val="2"/>
    </font>
    <font>
      <b/>
      <sz val="20"/>
      <color rgb="FFF53D1C"/>
      <name val="Century Gothic"/>
      <family val="2"/>
    </font>
    <font>
      <i/>
      <sz val="14"/>
      <color rgb="FF94BA29"/>
      <name val="Century Gothic"/>
      <family val="2"/>
    </font>
    <font>
      <sz val="11"/>
      <color theme="9"/>
      <name val="Century Gothic"/>
      <family val="2"/>
    </font>
    <font>
      <sz val="11"/>
      <color rgb="FF94BA29"/>
      <name val="Century Gothic"/>
      <family val="2"/>
    </font>
    <font>
      <sz val="10"/>
      <color rgb="FF1A52C2"/>
      <name val="Century Gothic"/>
      <family val="2"/>
    </font>
    <font>
      <sz val="9"/>
      <color theme="1"/>
      <name val="Century Gothic"/>
      <family val="2"/>
    </font>
    <font>
      <b/>
      <sz val="10"/>
      <color rgb="FF000000"/>
      <name val="Century Gothic"/>
      <family val="2"/>
    </font>
    <font>
      <sz val="9"/>
      <color rgb="FF000000"/>
      <name val="Calibri"/>
      <family val="2"/>
      <scheme val="minor"/>
    </font>
    <font>
      <sz val="11"/>
      <color rgb="FFF53D1C"/>
      <name val="Calibri"/>
      <family val="2"/>
      <scheme val="minor"/>
    </font>
    <font>
      <i/>
      <sz val="9"/>
      <color theme="1"/>
      <name val="Century Gothic"/>
      <family val="2"/>
    </font>
    <font>
      <u/>
      <sz val="11"/>
      <color theme="10"/>
      <name val="Calibri"/>
      <family val="2"/>
      <charset val="162"/>
      <scheme val="minor"/>
    </font>
    <font>
      <sz val="11"/>
      <color theme="0"/>
      <name val="Calibri"/>
      <family val="2"/>
      <scheme val="minor"/>
    </font>
    <font>
      <u/>
      <sz val="10"/>
      <color theme="1"/>
      <name val="Century Gothic"/>
      <family val="2"/>
    </font>
    <font>
      <b/>
      <sz val="11"/>
      <color rgb="FF000000"/>
      <name val="Calibri"/>
      <family val="2"/>
    </font>
    <font>
      <b/>
      <sz val="12"/>
      <name val="Century Gothic"/>
      <family val="2"/>
    </font>
    <font>
      <b/>
      <sz val="12"/>
      <color theme="0"/>
      <name val="Century Gothic"/>
      <family val="2"/>
    </font>
    <font>
      <sz val="12"/>
      <name val="Corbel"/>
      <family val="2"/>
    </font>
    <font>
      <sz val="12"/>
      <name val="Century Gothic"/>
      <family val="2"/>
    </font>
    <font>
      <i/>
      <sz val="12"/>
      <name val="Century Gothic"/>
      <family val="2"/>
    </font>
    <font>
      <b/>
      <sz val="12"/>
      <color theme="1"/>
      <name val="Century Gothic"/>
      <family val="2"/>
    </font>
    <font>
      <sz val="12"/>
      <color theme="0"/>
      <name val="Century Gothic"/>
      <family val="2"/>
    </font>
    <font>
      <sz val="12"/>
      <color theme="1"/>
      <name val="Century Gothic"/>
      <family val="2"/>
    </font>
    <font>
      <i/>
      <sz val="12"/>
      <color theme="1"/>
      <name val="Century Gothic"/>
      <family val="2"/>
    </font>
    <font>
      <b/>
      <sz val="16"/>
      <color theme="3"/>
      <name val="Calibri"/>
      <family val="2"/>
      <scheme val="minor"/>
    </font>
    <font>
      <sz val="16"/>
      <color theme="1"/>
      <name val="Century Gothic"/>
      <family val="2"/>
    </font>
    <font>
      <sz val="12"/>
      <color theme="0"/>
      <name val="Calibri"/>
      <family val="2"/>
      <scheme val="minor"/>
    </font>
    <font>
      <b/>
      <u/>
      <sz val="12"/>
      <color theme="4"/>
      <name val="Century Gothic"/>
      <family val="2"/>
    </font>
    <font>
      <u/>
      <sz val="12"/>
      <color theme="4"/>
      <name val="Century Gothic"/>
      <family val="2"/>
    </font>
    <font>
      <u/>
      <sz val="12"/>
      <color theme="1"/>
      <name val="Century Gothic"/>
      <family val="2"/>
    </font>
    <font>
      <sz val="10"/>
      <name val="Corbel"/>
      <family val="2"/>
    </font>
    <font>
      <sz val="10"/>
      <color theme="1"/>
      <name val="Corbel"/>
      <family val="2"/>
    </font>
    <font>
      <sz val="10"/>
      <color theme="1"/>
      <name val="Century Gothic"/>
      <family val="2"/>
    </font>
    <font>
      <sz val="10"/>
      <color rgb="FF000000"/>
      <name val="Century Gothic"/>
      <family val="2"/>
    </font>
    <font>
      <sz val="12"/>
      <color theme="1"/>
      <name val="Corbel"/>
      <family val="2"/>
    </font>
    <font>
      <sz val="11"/>
      <color theme="1"/>
      <name val="Corbel"/>
      <family val="2"/>
    </font>
    <font>
      <sz val="11"/>
      <color indexed="8"/>
      <name val="Corbel"/>
      <family val="2"/>
    </font>
  </fonts>
  <fills count="20">
    <fill>
      <patternFill patternType="none"/>
    </fill>
    <fill>
      <patternFill patternType="gray125"/>
    </fill>
    <fill>
      <patternFill patternType="solid">
        <fgColor rgb="FFC6EFCE"/>
      </patternFill>
    </fill>
    <fill>
      <patternFill patternType="solid">
        <fgColor rgb="FF175259"/>
        <bgColor indexed="64"/>
      </patternFill>
    </fill>
    <fill>
      <patternFill patternType="solid">
        <fgColor rgb="FFDEDBC4"/>
        <bgColor indexed="64"/>
      </patternFill>
    </fill>
    <fill>
      <patternFill patternType="solid">
        <fgColor rgb="FF85C4E3"/>
        <bgColor indexed="64"/>
      </patternFill>
    </fill>
    <fill>
      <patternFill patternType="solid">
        <fgColor rgb="FFDE8FEB"/>
        <bgColor indexed="64"/>
      </patternFill>
    </fill>
    <fill>
      <patternFill patternType="solid">
        <fgColor rgb="FFCCDE82"/>
        <bgColor indexed="64"/>
      </patternFill>
    </fill>
    <fill>
      <patternFill patternType="solid">
        <fgColor rgb="FF94BA29"/>
        <bgColor indexed="64"/>
      </patternFill>
    </fill>
    <fill>
      <patternFill patternType="solid">
        <fgColor rgb="FF26DBD9"/>
        <bgColor indexed="64"/>
      </patternFill>
    </fill>
    <fill>
      <patternFill patternType="solid">
        <fgColor rgb="FFFF7373"/>
        <bgColor indexed="64"/>
      </patternFill>
    </fill>
    <fill>
      <patternFill patternType="solid">
        <fgColor rgb="FFF5B224"/>
        <bgColor indexed="64"/>
      </patternFill>
    </fill>
    <fill>
      <patternFill patternType="solid">
        <fgColor rgb="FFFFC000"/>
        <bgColor indexed="64"/>
      </patternFill>
    </fill>
    <fill>
      <patternFill patternType="solid">
        <fgColor theme="6"/>
        <bgColor indexed="64"/>
      </patternFill>
    </fill>
    <fill>
      <patternFill patternType="solid">
        <fgColor rgb="FFBFBFBF"/>
        <bgColor indexed="64"/>
      </patternFill>
    </fill>
    <fill>
      <patternFill patternType="solid">
        <fgColor theme="0" tint="-0.34998626667073579"/>
        <bgColor indexed="64"/>
      </patternFill>
    </fill>
    <fill>
      <patternFill patternType="solid">
        <fgColor theme="4"/>
      </patternFill>
    </fill>
    <fill>
      <patternFill patternType="solid">
        <fgColor rgb="FFA6A6A6"/>
        <bgColor indexed="64"/>
      </patternFill>
    </fill>
    <fill>
      <patternFill patternType="solid">
        <fgColor rgb="FFFFFF00"/>
        <bgColor indexed="64"/>
      </patternFill>
    </fill>
    <fill>
      <patternFill patternType="solid">
        <fgColor rgb="FFFF00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ck">
        <color theme="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4">
    <xf numFmtId="0" fontId="0" fillId="0" borderId="0"/>
    <xf numFmtId="0" fontId="4" fillId="2" borderId="0" applyNumberFormat="0" applyBorder="0" applyAlignment="0" applyProtection="0"/>
    <xf numFmtId="9" fontId="12" fillId="0" borderId="0" applyFont="0" applyFill="0" applyBorder="0" applyAlignment="0" applyProtection="0"/>
    <xf numFmtId="0" fontId="13" fillId="0" borderId="9" applyNumberFormat="0" applyFill="0" applyAlignment="0" applyProtection="0"/>
    <xf numFmtId="164" fontId="12" fillId="0" borderId="0" applyFont="0" applyFill="0" applyBorder="0" applyAlignment="0" applyProtection="0"/>
    <xf numFmtId="0" fontId="3" fillId="0" borderId="0"/>
    <xf numFmtId="0" fontId="2" fillId="0" borderId="0"/>
    <xf numFmtId="0" fontId="35" fillId="0" borderId="0" applyNumberFormat="0" applyFill="0" applyBorder="0" applyAlignment="0" applyProtection="0"/>
    <xf numFmtId="0" fontId="36" fillId="16" borderId="0" applyNumberFormat="0" applyBorder="0" applyAlignment="0" applyProtection="0"/>
    <xf numFmtId="0" fontId="12" fillId="0" borderId="0"/>
    <xf numFmtId="0" fontId="12" fillId="0" borderId="0"/>
    <xf numFmtId="0" fontId="1" fillId="0" borderId="0"/>
    <xf numFmtId="0" fontId="1" fillId="0" borderId="0"/>
    <xf numFmtId="0" fontId="1" fillId="0" borderId="0"/>
  </cellStyleXfs>
  <cellXfs count="242">
    <xf numFmtId="0" fontId="0" fillId="0" borderId="0" xfId="0"/>
    <xf numFmtId="0" fontId="5" fillId="0" borderId="0" xfId="0" applyFont="1" applyAlignment="1" applyProtection="1">
      <protection locked="0"/>
    </xf>
    <xf numFmtId="0" fontId="5" fillId="0" borderId="0" xfId="0" applyFont="1" applyProtection="1">
      <protection locked="0"/>
    </xf>
    <xf numFmtId="1" fontId="5" fillId="0" borderId="0" xfId="0" applyNumberFormat="1" applyFont="1" applyProtection="1">
      <protection locked="0"/>
    </xf>
    <xf numFmtId="0" fontId="9" fillId="0" borderId="0" xfId="0" applyFont="1"/>
    <xf numFmtId="166" fontId="11" fillId="0" borderId="1" xfId="0" applyNumberFormat="1" applyFont="1" applyBorder="1" applyAlignment="1" applyProtection="1">
      <alignment vertical="center" wrapText="1"/>
    </xf>
    <xf numFmtId="0" fontId="9" fillId="0" borderId="0" xfId="0" applyFont="1" applyProtection="1">
      <protection locked="0"/>
    </xf>
    <xf numFmtId="0" fontId="11" fillId="0" borderId="1" xfId="0" applyFont="1" applyBorder="1" applyAlignment="1" applyProtection="1">
      <alignment vertical="center" wrapText="1"/>
      <protection locked="0"/>
    </xf>
    <xf numFmtId="2" fontId="9" fillId="0" borderId="1" xfId="0" applyNumberFormat="1" applyFont="1" applyBorder="1" applyProtection="1">
      <protection locked="0"/>
    </xf>
    <xf numFmtId="2" fontId="9" fillId="0" borderId="0" xfId="0" applyNumberFormat="1" applyFont="1" applyProtection="1">
      <protection locked="0"/>
    </xf>
    <xf numFmtId="0" fontId="9" fillId="0" borderId="1" xfId="0" applyFont="1" applyBorder="1" applyProtection="1"/>
    <xf numFmtId="0" fontId="14" fillId="0" borderId="0" xfId="0" applyFont="1"/>
    <xf numFmtId="167" fontId="10" fillId="0" borderId="0" xfId="0" applyNumberFormat="1" applyFont="1"/>
    <xf numFmtId="0" fontId="13" fillId="0" borderId="9" xfId="3"/>
    <xf numFmtId="0" fontId="0" fillId="0" borderId="0" xfId="0" applyAlignment="1">
      <alignment wrapText="1"/>
    </xf>
    <xf numFmtId="0" fontId="17" fillId="0" borderId="0" xfId="0" applyFont="1"/>
    <xf numFmtId="0" fontId="15" fillId="0" borderId="1" xfId="0" applyFont="1" applyBorder="1" applyAlignment="1">
      <alignment vertical="center" wrapText="1"/>
    </xf>
    <xf numFmtId="0" fontId="16" fillId="3" borderId="0" xfId="0" applyFont="1" applyFill="1" applyAlignment="1">
      <alignment wrapText="1"/>
    </xf>
    <xf numFmtId="0" fontId="17" fillId="0" borderId="0" xfId="0" applyFont="1" applyAlignment="1"/>
    <xf numFmtId="1" fontId="15" fillId="0" borderId="1" xfId="0" applyNumberFormat="1" applyFont="1" applyBorder="1" applyAlignment="1">
      <alignment vertical="center" wrapText="1"/>
    </xf>
    <xf numFmtId="0" fontId="15" fillId="0" borderId="12" xfId="0" applyFont="1" applyFill="1" applyBorder="1" applyAlignment="1">
      <alignment vertical="center" wrapText="1"/>
    </xf>
    <xf numFmtId="0" fontId="14" fillId="0" borderId="0" xfId="0" applyFont="1" applyAlignment="1">
      <alignment wrapText="1"/>
    </xf>
    <xf numFmtId="0" fontId="9" fillId="0" borderId="1" xfId="0" applyFont="1" applyBorder="1" applyAlignment="1" applyProtection="1">
      <alignment horizontal="center"/>
    </xf>
    <xf numFmtId="0" fontId="14" fillId="0" borderId="0" xfId="0" applyFont="1" applyFill="1" applyBorder="1"/>
    <xf numFmtId="0" fontId="15" fillId="0" borderId="1" xfId="0" applyFont="1" applyFill="1" applyBorder="1" applyAlignment="1">
      <alignment vertical="center" wrapText="1"/>
    </xf>
    <xf numFmtId="0" fontId="19" fillId="13" borderId="0" xfId="0" applyFont="1" applyFill="1"/>
    <xf numFmtId="0" fontId="19" fillId="12" borderId="0" xfId="0" applyFont="1" applyFill="1" applyAlignment="1">
      <alignment wrapText="1"/>
    </xf>
    <xf numFmtId="0" fontId="19" fillId="12" borderId="0" xfId="0" applyFont="1" applyFill="1"/>
    <xf numFmtId="0" fontId="24" fillId="0" borderId="0" xfId="6" applyFont="1" applyAlignment="1">
      <alignment vertical="center"/>
    </xf>
    <xf numFmtId="0" fontId="2" fillId="0" borderId="0" xfId="6"/>
    <xf numFmtId="0" fontId="25" fillId="0" borderId="0" xfId="6" applyFont="1" applyAlignment="1">
      <alignment vertical="center"/>
    </xf>
    <xf numFmtId="0" fontId="26" fillId="0" borderId="0" xfId="6" applyFont="1" applyAlignment="1">
      <alignment vertical="center"/>
    </xf>
    <xf numFmtId="0" fontId="27" fillId="0" borderId="0" xfId="6" applyFont="1" applyAlignment="1">
      <alignment vertical="center"/>
    </xf>
    <xf numFmtId="0" fontId="28" fillId="0" borderId="0" xfId="6" applyFont="1" applyAlignment="1">
      <alignment vertical="center"/>
    </xf>
    <xf numFmtId="0" fontId="2" fillId="0" borderId="0" xfId="6" applyAlignment="1">
      <alignment vertical="center"/>
    </xf>
    <xf numFmtId="0" fontId="32" fillId="0" borderId="0" xfId="6" applyFont="1"/>
    <xf numFmtId="0" fontId="33" fillId="0" borderId="0" xfId="6" applyFont="1"/>
    <xf numFmtId="0" fontId="9" fillId="0" borderId="0" xfId="6" applyFont="1" applyAlignment="1">
      <alignment vertical="center"/>
    </xf>
    <xf numFmtId="0" fontId="35" fillId="0" borderId="0" xfId="7"/>
    <xf numFmtId="0" fontId="9" fillId="0" borderId="23" xfId="0" applyFont="1" applyBorder="1" applyProtection="1">
      <protection locked="0"/>
    </xf>
    <xf numFmtId="0" fontId="9" fillId="0" borderId="22" xfId="0" applyFont="1" applyBorder="1" applyProtection="1">
      <protection locked="0"/>
    </xf>
    <xf numFmtId="2" fontId="9" fillId="0" borderId="12" xfId="0" applyNumberFormat="1" applyFont="1" applyBorder="1" applyProtection="1">
      <protection locked="0"/>
    </xf>
    <xf numFmtId="166" fontId="11" fillId="0" borderId="12" xfId="0" applyNumberFormat="1" applyFont="1" applyBorder="1" applyAlignment="1" applyProtection="1">
      <alignment vertical="center" wrapText="1"/>
    </xf>
    <xf numFmtId="0" fontId="9" fillId="0" borderId="12" xfId="0" applyFont="1" applyBorder="1" applyProtection="1"/>
    <xf numFmtId="49" fontId="5" fillId="0" borderId="1" xfId="0" applyNumberFormat="1" applyFont="1" applyBorder="1" applyProtection="1">
      <protection locked="0"/>
    </xf>
    <xf numFmtId="1" fontId="5" fillId="0" borderId="1" xfId="0" applyNumberFormat="1" applyFont="1" applyBorder="1" applyProtection="1">
      <protection locked="0"/>
    </xf>
    <xf numFmtId="0" fontId="5" fillId="0" borderId="1" xfId="0" applyFont="1" applyBorder="1" applyProtection="1">
      <protection locked="0"/>
    </xf>
    <xf numFmtId="0" fontId="14" fillId="0" borderId="0" xfId="0" applyFont="1" applyAlignment="1">
      <alignment horizontal="center"/>
    </xf>
    <xf numFmtId="0" fontId="16" fillId="3" borderId="0" xfId="0" applyFont="1" applyFill="1" applyAlignment="1">
      <alignment horizontal="center" wrapText="1"/>
    </xf>
    <xf numFmtId="0" fontId="14" fillId="0" borderId="0" xfId="0" applyFont="1" applyAlignment="1">
      <alignment horizontal="center" wrapText="1"/>
    </xf>
    <xf numFmtId="0" fontId="0" fillId="0" borderId="0" xfId="0" applyAlignment="1">
      <alignment horizontal="center" wrapText="1"/>
    </xf>
    <xf numFmtId="0" fontId="14" fillId="0" borderId="0" xfId="0" applyFont="1" applyFill="1" applyBorder="1" applyAlignment="1">
      <alignment horizontal="center"/>
    </xf>
    <xf numFmtId="0" fontId="14" fillId="0" borderId="0" xfId="0" applyFont="1" applyAlignment="1">
      <alignment horizontal="center" vertical="center"/>
    </xf>
    <xf numFmtId="0" fontId="16" fillId="3" borderId="0" xfId="0" applyFont="1" applyFill="1" applyAlignment="1">
      <alignment horizontal="center" vertical="center" wrapText="1"/>
    </xf>
    <xf numFmtId="0" fontId="14" fillId="0" borderId="0" xfId="0" applyFont="1" applyAlignment="1">
      <alignment horizontal="center" vertical="center" wrapText="1"/>
    </xf>
    <xf numFmtId="0" fontId="0" fillId="0" borderId="0" xfId="0" applyAlignment="1">
      <alignment horizontal="center" vertical="center" wrapText="1"/>
    </xf>
    <xf numFmtId="0" fontId="14" fillId="0" borderId="0" xfId="0" applyFont="1" applyFill="1" applyBorder="1" applyAlignment="1">
      <alignment horizontal="center" vertical="center"/>
    </xf>
    <xf numFmtId="0" fontId="6" fillId="0" borderId="1" xfId="0" applyFont="1" applyBorder="1" applyAlignment="1" applyProtection="1">
      <alignment vertical="center" wrapText="1"/>
      <protection locked="0"/>
    </xf>
    <xf numFmtId="1" fontId="6" fillId="0" borderId="1" xfId="0" applyNumberFormat="1" applyFont="1" applyBorder="1" applyAlignment="1" applyProtection="1">
      <alignment vertical="center" wrapText="1"/>
      <protection locked="0"/>
    </xf>
    <xf numFmtId="0" fontId="8" fillId="0" borderId="1" xfId="0" applyFont="1" applyBorder="1" applyProtection="1">
      <protection locked="0"/>
    </xf>
    <xf numFmtId="0" fontId="8" fillId="0" borderId="0" xfId="0" applyFont="1" applyProtection="1">
      <protection locked="0"/>
    </xf>
    <xf numFmtId="1" fontId="8" fillId="0" borderId="0" xfId="0" applyNumberFormat="1" applyFont="1" applyProtection="1">
      <protection locked="0"/>
    </xf>
    <xf numFmtId="14" fontId="5" fillId="0" borderId="15" xfId="0" applyNumberFormat="1" applyFont="1" applyBorder="1" applyAlignment="1" applyProtection="1"/>
    <xf numFmtId="0" fontId="5" fillId="0" borderId="19" xfId="0" applyFont="1" applyBorder="1" applyAlignment="1" applyProtection="1"/>
    <xf numFmtId="168" fontId="5" fillId="0" borderId="11" xfId="0" applyNumberFormat="1" applyFont="1" applyBorder="1" applyAlignment="1" applyProtection="1"/>
    <xf numFmtId="14" fontId="5" fillId="0" borderId="1" xfId="0" applyNumberFormat="1" applyFont="1" applyBorder="1" applyAlignment="1" applyProtection="1"/>
    <xf numFmtId="0" fontId="5" fillId="0" borderId="14" xfId="0" applyFont="1" applyBorder="1" applyAlignment="1" applyProtection="1"/>
    <xf numFmtId="0" fontId="8" fillId="0" borderId="0" xfId="0" applyFont="1" applyProtection="1"/>
    <xf numFmtId="0" fontId="5" fillId="0" borderId="0" xfId="0" applyFont="1" applyProtection="1"/>
    <xf numFmtId="0" fontId="9" fillId="0" borderId="1" xfId="0" applyFont="1" applyBorder="1" applyProtection="1">
      <protection locked="0"/>
    </xf>
    <xf numFmtId="3" fontId="9" fillId="0" borderId="1" xfId="0" applyNumberFormat="1" applyFont="1" applyBorder="1" applyAlignment="1" applyProtection="1">
      <alignment vertical="center" wrapText="1"/>
      <protection locked="0"/>
    </xf>
    <xf numFmtId="2" fontId="9" fillId="0" borderId="1" xfId="0" applyNumberFormat="1" applyFont="1" applyBorder="1" applyAlignment="1" applyProtection="1">
      <alignment vertical="center" wrapText="1"/>
      <protection locked="0"/>
    </xf>
    <xf numFmtId="9" fontId="9" fillId="0" borderId="1" xfId="2" applyFont="1" applyBorder="1" applyAlignment="1" applyProtection="1">
      <alignment horizontal="center"/>
    </xf>
    <xf numFmtId="169" fontId="9" fillId="0" borderId="1" xfId="4" applyNumberFormat="1" applyFont="1" applyBorder="1" applyProtection="1"/>
    <xf numFmtId="0" fontId="9" fillId="0" borderId="12" xfId="0" applyFont="1" applyBorder="1" applyAlignment="1" applyProtection="1">
      <alignment horizontal="center"/>
    </xf>
    <xf numFmtId="9" fontId="9" fillId="0" borderId="12" xfId="2" applyFont="1" applyBorder="1" applyAlignment="1" applyProtection="1">
      <alignment horizontal="center"/>
    </xf>
    <xf numFmtId="169" fontId="9" fillId="0" borderId="12" xfId="4" applyNumberFormat="1" applyFont="1" applyBorder="1" applyProtection="1"/>
    <xf numFmtId="0" fontId="9" fillId="0" borderId="0" xfId="0" applyFont="1" applyProtection="1"/>
    <xf numFmtId="0" fontId="6" fillId="0" borderId="23" xfId="0" applyFont="1" applyBorder="1" applyAlignment="1" applyProtection="1">
      <alignment vertical="center" wrapText="1"/>
      <protection locked="0"/>
    </xf>
    <xf numFmtId="0" fontId="30" fillId="0" borderId="0" xfId="6" applyFont="1" applyBorder="1" applyAlignment="1">
      <alignment horizontal="left" vertical="top" wrapText="1"/>
    </xf>
    <xf numFmtId="0" fontId="40" fillId="3" borderId="0" xfId="0" applyFont="1" applyFill="1" applyBorder="1" applyAlignment="1" applyProtection="1">
      <alignment horizontal="center" vertical="center" wrapText="1"/>
    </xf>
    <xf numFmtId="0" fontId="41" fillId="0" borderId="0" xfId="0" applyFont="1" applyAlignment="1" applyProtection="1">
      <alignment horizontal="center" vertical="center" wrapText="1"/>
      <protection locked="0"/>
    </xf>
    <xf numFmtId="0" fontId="41" fillId="0" borderId="0" xfId="0" applyFont="1" applyAlignment="1" applyProtection="1">
      <alignment horizontal="center" vertical="center" wrapText="1"/>
    </xf>
    <xf numFmtId="0" fontId="42" fillId="10" borderId="23" xfId="0" applyFont="1" applyFill="1" applyBorder="1" applyAlignment="1" applyProtection="1">
      <alignment horizontal="center" vertical="center" wrapText="1"/>
    </xf>
    <xf numFmtId="1" fontId="42" fillId="7" borderId="1" xfId="1" applyNumberFormat="1" applyFont="1" applyFill="1" applyBorder="1" applyAlignment="1" applyProtection="1">
      <alignment horizontal="center" vertical="center" wrapText="1"/>
    </xf>
    <xf numFmtId="0" fontId="43" fillId="0" borderId="0" xfId="0" applyFont="1" applyAlignment="1" applyProtection="1">
      <alignment horizontal="left"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center" vertical="center"/>
    </xf>
    <xf numFmtId="0" fontId="39" fillId="10" borderId="23" xfId="0" applyFont="1" applyFill="1" applyBorder="1" applyAlignment="1" applyProtection="1">
      <alignment horizontal="center" vertical="center" wrapText="1"/>
    </xf>
    <xf numFmtId="0" fontId="45" fillId="3" borderId="13" xfId="0" applyFont="1" applyFill="1" applyBorder="1" applyAlignment="1" applyProtection="1">
      <alignment horizontal="center" vertical="center" wrapText="1"/>
    </xf>
    <xf numFmtId="0" fontId="46" fillId="0" borderId="0" xfId="0" applyFont="1" applyProtection="1">
      <protection locked="0"/>
    </xf>
    <xf numFmtId="0" fontId="46" fillId="0" borderId="0" xfId="0" applyFont="1"/>
    <xf numFmtId="0" fontId="42" fillId="8" borderId="1" xfId="1" applyFont="1" applyFill="1" applyBorder="1" applyAlignment="1" applyProtection="1">
      <alignment horizontal="center" vertical="center" wrapText="1"/>
    </xf>
    <xf numFmtId="2" fontId="42" fillId="8" borderId="1" xfId="1" applyNumberFormat="1" applyFont="1" applyFill="1" applyBorder="1" applyAlignment="1" applyProtection="1">
      <alignment horizontal="center" vertical="center" wrapText="1"/>
    </xf>
    <xf numFmtId="0" fontId="47" fillId="0" borderId="0" xfId="0" applyFont="1" applyProtection="1">
      <protection locked="0"/>
    </xf>
    <xf numFmtId="0" fontId="42" fillId="9" borderId="1" xfId="1" applyFont="1" applyFill="1" applyBorder="1" applyAlignment="1" applyProtection="1">
      <alignment horizontal="center" vertical="center" wrapText="1"/>
    </xf>
    <xf numFmtId="2" fontId="42" fillId="9" borderId="1" xfId="1" applyNumberFormat="1" applyFont="1" applyFill="1" applyBorder="1" applyAlignment="1" applyProtection="1">
      <alignment horizontal="center" vertical="center" wrapText="1"/>
    </xf>
    <xf numFmtId="0" fontId="48" fillId="0" borderId="9" xfId="3" applyFont="1"/>
    <xf numFmtId="0" fontId="49" fillId="0" borderId="0" xfId="0" applyFont="1"/>
    <xf numFmtId="0" fontId="49" fillId="0" borderId="0" xfId="0" applyFont="1" applyAlignment="1">
      <alignment horizontal="center" vertical="center"/>
    </xf>
    <xf numFmtId="0" fontId="49" fillId="0" borderId="0" xfId="0" applyFont="1" applyAlignment="1">
      <alignment horizontal="center"/>
    </xf>
    <xf numFmtId="1" fontId="44" fillId="0" borderId="1" xfId="0" applyNumberFormat="1" applyFont="1" applyBorder="1" applyAlignment="1">
      <alignment vertical="center" wrapText="1"/>
    </xf>
    <xf numFmtId="0" fontId="46" fillId="0" borderId="1" xfId="0" applyFont="1" applyBorder="1" applyAlignment="1">
      <alignment vertical="center" wrapText="1"/>
    </xf>
    <xf numFmtId="0" fontId="50" fillId="16" borderId="1" xfId="8" applyFont="1" applyBorder="1" applyAlignment="1">
      <alignment horizontal="center" vertical="center"/>
    </xf>
    <xf numFmtId="1" fontId="46" fillId="0" borderId="1" xfId="0" applyNumberFormat="1" applyFont="1" applyBorder="1" applyAlignment="1">
      <alignment vertical="center" wrapText="1"/>
    </xf>
    <xf numFmtId="1" fontId="46" fillId="15" borderId="1" xfId="0" applyNumberFormat="1" applyFont="1" applyFill="1" applyBorder="1" applyAlignment="1">
      <alignment horizontal="center" vertical="center" wrapText="1"/>
    </xf>
    <xf numFmtId="1" fontId="51" fillId="15" borderId="1" xfId="0" applyNumberFormat="1" applyFont="1" applyFill="1" applyBorder="1" applyAlignment="1">
      <alignment vertical="center" wrapText="1"/>
    </xf>
    <xf numFmtId="0" fontId="46" fillId="0" borderId="1" xfId="0" applyFont="1" applyBorder="1" applyAlignment="1">
      <alignment horizontal="center" vertical="center"/>
    </xf>
    <xf numFmtId="1" fontId="46" fillId="0" borderId="1" xfId="0" applyNumberFormat="1" applyFont="1" applyBorder="1" applyAlignment="1">
      <alignment horizontal="center" vertical="center" wrapText="1"/>
    </xf>
    <xf numFmtId="1" fontId="52" fillId="0" borderId="1" xfId="0" applyNumberFormat="1" applyFont="1" applyBorder="1" applyAlignment="1">
      <alignment vertical="center" wrapText="1"/>
    </xf>
    <xf numFmtId="1" fontId="44" fillId="15" borderId="1" xfId="0" applyNumberFormat="1" applyFont="1" applyFill="1" applyBorder="1" applyAlignment="1">
      <alignment vertical="center" wrapText="1"/>
    </xf>
    <xf numFmtId="1" fontId="44" fillId="15" borderId="1" xfId="0" applyNumberFormat="1" applyFont="1" applyFill="1" applyBorder="1" applyAlignment="1">
      <alignment horizontal="center" vertical="center" wrapText="1"/>
    </xf>
    <xf numFmtId="1" fontId="46" fillId="17" borderId="1" xfId="0" applyNumberFormat="1" applyFont="1" applyFill="1" applyBorder="1" applyAlignment="1">
      <alignment horizontal="center" vertical="center" wrapText="1"/>
    </xf>
    <xf numFmtId="1" fontId="44" fillId="17" borderId="1" xfId="0" applyNumberFormat="1" applyFont="1" applyFill="1" applyBorder="1" applyAlignment="1">
      <alignment vertical="center" wrapText="1"/>
    </xf>
    <xf numFmtId="1" fontId="44" fillId="17" borderId="1" xfId="0" applyNumberFormat="1" applyFont="1" applyFill="1" applyBorder="1" applyAlignment="1">
      <alignment horizontal="center" vertical="center" wrapText="1"/>
    </xf>
    <xf numFmtId="1" fontId="51" fillId="17" borderId="1" xfId="0" applyNumberFormat="1" applyFont="1" applyFill="1" applyBorder="1" applyAlignment="1">
      <alignment vertical="center" wrapText="1"/>
    </xf>
    <xf numFmtId="0" fontId="44" fillId="0" borderId="1" xfId="0" applyFont="1" applyBorder="1" applyAlignment="1">
      <alignment vertical="center" wrapText="1"/>
    </xf>
    <xf numFmtId="0" fontId="46" fillId="0" borderId="1" xfId="0" applyFont="1" applyBorder="1" applyAlignment="1">
      <alignment wrapText="1"/>
    </xf>
    <xf numFmtId="0" fontId="46" fillId="0" borderId="1" xfId="0" applyFont="1" applyBorder="1" applyAlignment="1">
      <alignment vertical="center"/>
    </xf>
    <xf numFmtId="0" fontId="46" fillId="0" borderId="1" xfId="0" applyFont="1" applyBorder="1" applyAlignment="1">
      <alignment horizontal="center" vertical="center" wrapText="1"/>
    </xf>
    <xf numFmtId="0" fontId="52" fillId="0" borderId="1" xfId="0" applyFont="1" applyBorder="1" applyAlignment="1">
      <alignment vertical="center" wrapText="1"/>
    </xf>
    <xf numFmtId="0" fontId="50" fillId="16" borderId="1" xfId="8" applyFont="1" applyBorder="1" applyAlignment="1">
      <alignment vertical="center" wrapText="1"/>
    </xf>
    <xf numFmtId="0" fontId="46" fillId="17" borderId="1" xfId="0" applyFont="1" applyFill="1" applyBorder="1" applyAlignment="1">
      <alignment horizontal="center" wrapText="1"/>
    </xf>
    <xf numFmtId="0" fontId="53" fillId="17" borderId="1" xfId="0" applyFont="1" applyFill="1" applyBorder="1" applyAlignment="1">
      <alignment vertical="center" wrapText="1"/>
    </xf>
    <xf numFmtId="0" fontId="46" fillId="0" borderId="0" xfId="0" applyFont="1" applyFill="1" applyBorder="1"/>
    <xf numFmtId="1" fontId="50" fillId="16" borderId="1" xfId="8" applyNumberFormat="1" applyFont="1" applyBorder="1" applyAlignment="1">
      <alignment vertical="center" wrapText="1"/>
    </xf>
    <xf numFmtId="1" fontId="46" fillId="0" borderId="1" xfId="0" applyNumberFormat="1" applyFont="1" applyBorder="1" applyAlignment="1">
      <alignment wrapText="1"/>
    </xf>
    <xf numFmtId="0" fontId="46" fillId="0" borderId="1" xfId="0" applyFont="1" applyFill="1" applyBorder="1"/>
    <xf numFmtId="1" fontId="50" fillId="16" borderId="1" xfId="8" applyNumberFormat="1" applyFont="1" applyBorder="1" applyAlignment="1">
      <alignment wrapText="1"/>
    </xf>
    <xf numFmtId="0" fontId="46" fillId="17" borderId="1" xfId="0" applyFont="1" applyFill="1" applyBorder="1" applyAlignment="1">
      <alignment horizontal="center" vertical="center" wrapText="1"/>
    </xf>
    <xf numFmtId="0" fontId="46" fillId="17" borderId="1" xfId="0" applyFont="1" applyFill="1" applyBorder="1"/>
    <xf numFmtId="0" fontId="0" fillId="0" borderId="0" xfId="0" applyAlignment="1">
      <alignment horizontal="center"/>
    </xf>
    <xf numFmtId="0" fontId="14" fillId="0" borderId="1" xfId="0" applyFont="1" applyBorder="1"/>
    <xf numFmtId="0" fontId="14" fillId="0" borderId="28" xfId="0" applyFont="1" applyBorder="1"/>
    <xf numFmtId="0" fontId="14" fillId="0" borderId="30" xfId="0" applyFont="1" applyBorder="1"/>
    <xf numFmtId="0" fontId="14" fillId="0" borderId="27" xfId="0" applyFont="1" applyBorder="1" applyAlignment="1">
      <alignment horizontal="center"/>
    </xf>
    <xf numFmtId="0" fontId="14" fillId="0" borderId="29" xfId="0" applyFont="1" applyBorder="1" applyAlignment="1">
      <alignment horizontal="center"/>
    </xf>
    <xf numFmtId="0" fontId="15" fillId="0" borderId="24" xfId="0" applyFont="1" applyBorder="1" applyAlignment="1">
      <alignment horizontal="center"/>
    </xf>
    <xf numFmtId="0" fontId="15" fillId="0" borderId="25" xfId="0" applyFont="1" applyBorder="1" applyAlignment="1">
      <alignment horizontal="center"/>
    </xf>
    <xf numFmtId="0" fontId="15" fillId="0" borderId="26" xfId="0" applyFont="1" applyBorder="1" applyAlignment="1">
      <alignment horizontal="center"/>
    </xf>
    <xf numFmtId="0" fontId="14" fillId="18" borderId="0" xfId="0" applyFont="1" applyFill="1"/>
    <xf numFmtId="0" fontId="40" fillId="3" borderId="0" xfId="0" applyFont="1" applyFill="1" applyAlignment="1">
      <alignment horizontal="center" vertical="center" wrapText="1"/>
    </xf>
    <xf numFmtId="0" fontId="9" fillId="0" borderId="0" xfId="6" applyFont="1" applyAlignment="1">
      <alignment horizontal="left" vertical="center" wrapText="1"/>
    </xf>
    <xf numFmtId="0" fontId="5" fillId="0" borderId="15" xfId="0" applyFont="1" applyBorder="1" applyAlignment="1" applyProtection="1"/>
    <xf numFmtId="0" fontId="5" fillId="0" borderId="1" xfId="0" applyFont="1" applyBorder="1" applyAlignment="1" applyProtection="1"/>
    <xf numFmtId="0" fontId="5" fillId="0" borderId="12" xfId="0" applyFont="1" applyBorder="1" applyAlignment="1" applyProtection="1"/>
    <xf numFmtId="0" fontId="39" fillId="10" borderId="6" xfId="0" applyFont="1" applyFill="1" applyBorder="1" applyAlignment="1">
      <alignment horizontal="center" vertical="center" wrapText="1"/>
    </xf>
    <xf numFmtId="0" fontId="42" fillId="10" borderId="23" xfId="0" applyFont="1" applyFill="1" applyBorder="1" applyAlignment="1">
      <alignment horizontal="center" vertical="center" wrapText="1"/>
    </xf>
    <xf numFmtId="0" fontId="42" fillId="11" borderId="1" xfId="0" applyFont="1" applyFill="1" applyBorder="1" applyAlignment="1">
      <alignment horizontal="center" vertical="center" wrapText="1"/>
    </xf>
    <xf numFmtId="1" fontId="42" fillId="11" borderId="1" xfId="0" applyNumberFormat="1" applyFont="1" applyFill="1" applyBorder="1" applyAlignment="1">
      <alignment horizontal="center" vertical="center" wrapText="1"/>
    </xf>
    <xf numFmtId="0" fontId="42" fillId="4" borderId="1" xfId="0" applyFont="1" applyFill="1" applyBorder="1" applyAlignment="1">
      <alignment horizontal="center" vertical="center" wrapText="1"/>
    </xf>
    <xf numFmtId="1" fontId="42" fillId="4" borderId="1" xfId="0" applyNumberFormat="1" applyFont="1" applyFill="1" applyBorder="1" applyAlignment="1">
      <alignment horizontal="center" vertical="center" wrapText="1"/>
    </xf>
    <xf numFmtId="0" fontId="42" fillId="5" borderId="1" xfId="0" applyFont="1" applyFill="1" applyBorder="1" applyAlignment="1">
      <alignment horizontal="center" vertical="center" wrapText="1"/>
    </xf>
    <xf numFmtId="0" fontId="42" fillId="6" borderId="1" xfId="0" applyFont="1" applyFill="1" applyBorder="1" applyAlignment="1">
      <alignment horizontal="center" vertical="center" wrapText="1"/>
    </xf>
    <xf numFmtId="1" fontId="42" fillId="6" borderId="1" xfId="0" applyNumberFormat="1" applyFont="1" applyFill="1" applyBorder="1" applyAlignment="1">
      <alignment horizontal="center" vertical="center" wrapText="1"/>
    </xf>
    <xf numFmtId="0" fontId="42" fillId="6" borderId="14" xfId="0" applyFont="1" applyFill="1" applyBorder="1" applyAlignment="1">
      <alignment horizontal="center" vertical="center" wrapText="1"/>
    </xf>
    <xf numFmtId="165" fontId="42" fillId="8" borderId="1" xfId="0" applyNumberFormat="1" applyFont="1" applyFill="1" applyBorder="1" applyAlignment="1">
      <alignment horizontal="center" vertical="center" wrapText="1"/>
    </xf>
    <xf numFmtId="0" fontId="42" fillId="8" borderId="1" xfId="0" applyFont="1" applyFill="1" applyBorder="1" applyAlignment="1">
      <alignment horizontal="center" vertical="center" wrapText="1"/>
    </xf>
    <xf numFmtId="0" fontId="45" fillId="3" borderId="13" xfId="0" applyFont="1" applyFill="1" applyBorder="1" applyAlignment="1">
      <alignment horizontal="center" vertical="center" wrapText="1"/>
    </xf>
    <xf numFmtId="0" fontId="45" fillId="3" borderId="13" xfId="0" applyFont="1" applyFill="1" applyBorder="1" applyAlignment="1">
      <alignment vertical="center" wrapText="1"/>
    </xf>
    <xf numFmtId="0" fontId="15" fillId="0" borderId="12" xfId="0" applyFont="1" applyBorder="1" applyAlignment="1">
      <alignment vertical="center" wrapText="1"/>
    </xf>
    <xf numFmtId="0" fontId="20" fillId="0" borderId="0" xfId="0" applyFont="1" applyAlignment="1">
      <alignment wrapText="1"/>
    </xf>
    <xf numFmtId="0" fontId="19" fillId="0" borderId="0" xfId="0" applyFont="1"/>
    <xf numFmtId="0" fontId="23" fillId="0" borderId="0" xfId="0" applyFont="1"/>
    <xf numFmtId="0" fontId="21" fillId="0" borderId="0" xfId="0" applyFont="1"/>
    <xf numFmtId="0" fontId="20" fillId="0" borderId="0" xfId="0" applyFont="1" applyAlignment="1">
      <alignment horizontal="left" wrapText="1"/>
    </xf>
    <xf numFmtId="0" fontId="22" fillId="0" borderId="0" xfId="0" applyFont="1"/>
    <xf numFmtId="0" fontId="20" fillId="0" borderId="0" xfId="0" applyFont="1"/>
    <xf numFmtId="0" fontId="19" fillId="0" borderId="0" xfId="0" applyFont="1" applyAlignment="1">
      <alignment vertical="center" wrapText="1"/>
    </xf>
    <xf numFmtId="0" fontId="14" fillId="0" borderId="31" xfId="0" applyFont="1" applyBorder="1" applyAlignment="1">
      <alignment wrapText="1"/>
    </xf>
    <xf numFmtId="0" fontId="54" fillId="18" borderId="1" xfId="0" applyFont="1" applyFill="1" applyBorder="1" applyAlignment="1" applyProtection="1">
      <alignment vertical="center" wrapText="1"/>
      <protection locked="0"/>
    </xf>
    <xf numFmtId="0" fontId="54" fillId="0" borderId="1" xfId="0" applyFont="1" applyBorder="1" applyAlignment="1" applyProtection="1">
      <alignment vertical="center" wrapText="1"/>
      <protection locked="0"/>
    </xf>
    <xf numFmtId="1" fontId="54" fillId="0" borderId="1" xfId="0" applyNumberFormat="1" applyFont="1" applyBorder="1" applyAlignment="1" applyProtection="1">
      <alignment vertical="center" wrapText="1"/>
      <protection locked="0"/>
    </xf>
    <xf numFmtId="0" fontId="54" fillId="0" borderId="1" xfId="0" applyFont="1" applyFill="1" applyBorder="1" applyAlignment="1" applyProtection="1">
      <alignment vertical="center" wrapText="1"/>
      <protection locked="0"/>
    </xf>
    <xf numFmtId="49" fontId="54" fillId="0" borderId="1" xfId="0" applyNumberFormat="1" applyFont="1" applyBorder="1" applyAlignment="1" applyProtection="1">
      <alignment vertical="center" wrapText="1"/>
      <protection locked="0"/>
    </xf>
    <xf numFmtId="49" fontId="55" fillId="0" borderId="1" xfId="0" applyNumberFormat="1" applyFont="1" applyBorder="1" applyAlignment="1" applyProtection="1">
      <protection locked="0"/>
    </xf>
    <xf numFmtId="1" fontId="55" fillId="0" borderId="1" xfId="0" applyNumberFormat="1" applyFont="1" applyBorder="1" applyAlignment="1" applyProtection="1">
      <protection locked="0"/>
    </xf>
    <xf numFmtId="0" fontId="55" fillId="0" borderId="1" xfId="0" applyNumberFormat="1" applyFont="1" applyBorder="1" applyAlignment="1" applyProtection="1"/>
    <xf numFmtId="0" fontId="56" fillId="0" borderId="1" xfId="0" applyFont="1" applyBorder="1" applyProtection="1"/>
    <xf numFmtId="171" fontId="55" fillId="0" borderId="1" xfId="0" applyNumberFormat="1" applyFont="1" applyBorder="1" applyAlignment="1" applyProtection="1"/>
    <xf numFmtId="0" fontId="55" fillId="0" borderId="14" xfId="0" applyFont="1" applyBorder="1" applyAlignment="1" applyProtection="1"/>
    <xf numFmtId="168" fontId="55" fillId="0" borderId="11" xfId="0" applyNumberFormat="1" applyFont="1" applyBorder="1" applyAlignment="1" applyProtection="1"/>
    <xf numFmtId="0" fontId="56" fillId="0" borderId="1" xfId="0" applyFont="1" applyBorder="1" applyProtection="1">
      <protection locked="0"/>
    </xf>
    <xf numFmtId="2" fontId="56" fillId="0" borderId="1" xfId="0" applyNumberFormat="1" applyFont="1" applyBorder="1" applyAlignment="1" applyProtection="1">
      <alignment vertical="center" wrapText="1"/>
      <protection locked="0"/>
    </xf>
    <xf numFmtId="3" fontId="56" fillId="0" borderId="1" xfId="0" applyNumberFormat="1" applyFont="1" applyBorder="1" applyAlignment="1" applyProtection="1">
      <alignment vertical="center" wrapText="1"/>
      <protection locked="0"/>
    </xf>
    <xf numFmtId="0" fontId="56" fillId="0" borderId="1" xfId="0" applyFont="1" applyBorder="1" applyAlignment="1" applyProtection="1">
      <alignment horizontal="center"/>
    </xf>
    <xf numFmtId="9" fontId="56" fillId="0" borderId="1" xfId="2" applyFont="1" applyBorder="1" applyAlignment="1" applyProtection="1">
      <alignment horizontal="center"/>
    </xf>
    <xf numFmtId="9" fontId="56" fillId="0" borderId="1" xfId="2" applyNumberFormat="1" applyFont="1" applyBorder="1" applyAlignment="1" applyProtection="1">
      <alignment horizontal="center"/>
    </xf>
    <xf numFmtId="169" fontId="56" fillId="0" borderId="1" xfId="4" applyNumberFormat="1" applyFont="1" applyBorder="1" applyProtection="1"/>
    <xf numFmtId="0" fontId="56" fillId="0" borderId="23" xfId="0" applyFont="1" applyBorder="1" applyProtection="1">
      <protection locked="0"/>
    </xf>
    <xf numFmtId="0" fontId="57" fillId="0" borderId="1" xfId="0" applyFont="1" applyBorder="1" applyAlignment="1" applyProtection="1">
      <alignment vertical="center" wrapText="1"/>
      <protection locked="0"/>
    </xf>
    <xf numFmtId="2" fontId="56" fillId="0" borderId="1" xfId="0" applyNumberFormat="1" applyFont="1" applyBorder="1" applyProtection="1">
      <protection locked="0"/>
    </xf>
    <xf numFmtId="166" fontId="57" fillId="0" borderId="1" xfId="0" applyNumberFormat="1" applyFont="1" applyBorder="1" applyAlignment="1" applyProtection="1">
      <alignment vertical="center" wrapText="1"/>
    </xf>
    <xf numFmtId="0" fontId="56" fillId="0" borderId="1" xfId="0" applyNumberFormat="1" applyFont="1" applyBorder="1" applyAlignment="1" applyProtection="1">
      <alignment horizontal="center"/>
    </xf>
    <xf numFmtId="0" fontId="6" fillId="0" borderId="1" xfId="0" applyFont="1" applyFill="1" applyBorder="1" applyAlignment="1" applyProtection="1">
      <alignment vertical="center" wrapText="1"/>
      <protection locked="0"/>
    </xf>
    <xf numFmtId="1" fontId="6" fillId="0" borderId="1" xfId="9" applyNumberFormat="1" applyFont="1" applyBorder="1" applyAlignment="1" applyProtection="1">
      <alignment vertical="center" wrapText="1"/>
      <protection locked="0"/>
    </xf>
    <xf numFmtId="170" fontId="9" fillId="0" borderId="1" xfId="0" applyNumberFormat="1" applyFont="1" applyBorder="1" applyAlignment="1" applyProtection="1">
      <alignment horizontal="right"/>
      <protection locked="0"/>
    </xf>
    <xf numFmtId="170" fontId="0" fillId="0" borderId="0" xfId="0" applyNumberFormat="1" applyFill="1" applyAlignment="1" applyProtection="1">
      <alignment horizontal="right"/>
    </xf>
    <xf numFmtId="170" fontId="0" fillId="0" borderId="1" xfId="0" applyNumberFormat="1" applyFill="1" applyBorder="1" applyAlignment="1" applyProtection="1">
      <alignment horizontal="right"/>
    </xf>
    <xf numFmtId="170" fontId="9" fillId="0" borderId="12" xfId="0" applyNumberFormat="1" applyFont="1" applyBorder="1" applyAlignment="1" applyProtection="1">
      <alignment horizontal="right"/>
      <protection locked="0"/>
    </xf>
    <xf numFmtId="170" fontId="56" fillId="0" borderId="1" xfId="0" applyNumberFormat="1" applyFont="1" applyBorder="1" applyAlignment="1" applyProtection="1">
      <alignment horizontal="right"/>
      <protection locked="0"/>
    </xf>
    <xf numFmtId="166" fontId="9" fillId="0" borderId="0" xfId="0" applyNumberFormat="1" applyFont="1" applyAlignment="1" applyProtection="1">
      <alignment horizontal="right"/>
      <protection locked="0"/>
    </xf>
    <xf numFmtId="0" fontId="58" fillId="0" borderId="1" xfId="5" applyFont="1" applyBorder="1" applyAlignment="1">
      <alignment vertical="top" wrapText="1"/>
    </xf>
    <xf numFmtId="0" fontId="59" fillId="0" borderId="0" xfId="5" applyFont="1" applyFill="1"/>
    <xf numFmtId="0" fontId="60" fillId="0" borderId="0" xfId="5" applyFont="1" applyFill="1"/>
    <xf numFmtId="0" fontId="59" fillId="19" borderId="0" xfId="5" applyFont="1" applyFill="1"/>
    <xf numFmtId="9" fontId="46" fillId="0" borderId="0" xfId="2" applyFont="1" applyFill="1" applyProtection="1">
      <protection locked="0"/>
    </xf>
    <xf numFmtId="9" fontId="47" fillId="0" borderId="0" xfId="2" applyFont="1" applyFill="1" applyProtection="1">
      <protection locked="0"/>
    </xf>
    <xf numFmtId="9" fontId="9" fillId="0" borderId="0" xfId="2" applyFont="1" applyFill="1" applyProtection="1">
      <protection locked="0"/>
    </xf>
    <xf numFmtId="0" fontId="0" fillId="0" borderId="1" xfId="0" applyBorder="1" applyAlignment="1">
      <alignment horizontal="center"/>
    </xf>
    <xf numFmtId="3" fontId="0" fillId="0" borderId="1" xfId="0" applyNumberFormat="1" applyBorder="1" applyAlignment="1">
      <alignment horizontal="center"/>
    </xf>
    <xf numFmtId="0" fontId="10" fillId="14" borderId="1" xfId="6" applyFont="1" applyFill="1" applyBorder="1" applyAlignment="1">
      <alignment horizontal="left" vertical="center" wrapText="1"/>
    </xf>
    <xf numFmtId="0" fontId="30" fillId="0" borderId="1" xfId="6" applyFont="1" applyBorder="1" applyAlignment="1">
      <alignment horizontal="left" vertical="top" wrapText="1"/>
    </xf>
    <xf numFmtId="0" fontId="34" fillId="0" borderId="0" xfId="6" applyFont="1" applyAlignment="1">
      <alignment horizontal="left" vertical="center" wrapText="1"/>
    </xf>
    <xf numFmtId="0" fontId="30" fillId="0" borderId="1" xfId="6" applyFont="1" applyBorder="1" applyAlignment="1">
      <alignment horizontal="left" vertical="center" wrapText="1"/>
    </xf>
    <xf numFmtId="0" fontId="10" fillId="14" borderId="1" xfId="6" applyFont="1" applyFill="1" applyBorder="1" applyAlignment="1">
      <alignment horizontal="center" vertical="center" wrapText="1"/>
    </xf>
    <xf numFmtId="0" fontId="9" fillId="0" borderId="21" xfId="6" applyFont="1" applyBorder="1" applyAlignment="1">
      <alignment horizontal="left" vertical="top" wrapText="1"/>
    </xf>
    <xf numFmtId="0" fontId="9" fillId="0" borderId="10" xfId="6" applyFont="1" applyBorder="1" applyAlignment="1">
      <alignment horizontal="left" vertical="top" wrapText="1"/>
    </xf>
    <xf numFmtId="0" fontId="9" fillId="0" borderId="22" xfId="6" applyFont="1" applyBorder="1" applyAlignment="1">
      <alignment horizontal="left" vertical="top" wrapText="1"/>
    </xf>
    <xf numFmtId="0" fontId="9" fillId="0" borderId="20" xfId="6" applyFont="1" applyBorder="1" applyAlignment="1">
      <alignment horizontal="left" vertical="top" wrapText="1"/>
    </xf>
    <xf numFmtId="0" fontId="9" fillId="0" borderId="0" xfId="6" applyFont="1" applyAlignment="1">
      <alignment horizontal="left" vertical="top" wrapText="1"/>
    </xf>
    <xf numFmtId="0" fontId="9" fillId="0" borderId="18" xfId="6" applyFont="1" applyBorder="1" applyAlignment="1">
      <alignment horizontal="left" vertical="top" wrapText="1"/>
    </xf>
    <xf numFmtId="0" fontId="9" fillId="0" borderId="1" xfId="6" applyFont="1" applyBorder="1" applyAlignment="1">
      <alignment horizontal="left" vertical="center" wrapText="1"/>
    </xf>
    <xf numFmtId="0" fontId="31" fillId="14" borderId="1" xfId="6" applyFont="1" applyFill="1" applyBorder="1" applyAlignment="1">
      <alignment horizontal="left" vertical="center" wrapText="1"/>
    </xf>
    <xf numFmtId="14" fontId="9" fillId="0" borderId="1" xfId="6" applyNumberFormat="1" applyFont="1" applyBorder="1" applyAlignment="1">
      <alignment horizontal="left" vertical="center" wrapText="1"/>
    </xf>
    <xf numFmtId="0" fontId="9" fillId="0" borderId="0" xfId="6" applyFont="1" applyAlignment="1">
      <alignment horizontal="left" vertical="center" wrapText="1"/>
    </xf>
    <xf numFmtId="0" fontId="9" fillId="14" borderId="1" xfId="6" applyFont="1" applyFill="1" applyBorder="1" applyAlignment="1">
      <alignment horizontal="left" vertical="center" wrapText="1"/>
    </xf>
    <xf numFmtId="0" fontId="7" fillId="14" borderId="1" xfId="6" applyFont="1" applyFill="1" applyBorder="1" applyAlignment="1">
      <alignment horizontal="left" vertical="center" wrapText="1"/>
    </xf>
    <xf numFmtId="0" fontId="39" fillId="11" borderId="6" xfId="0" applyFont="1" applyFill="1" applyBorder="1" applyAlignment="1" applyProtection="1">
      <alignment horizontal="center" vertical="center" wrapText="1"/>
    </xf>
    <xf numFmtId="0" fontId="39" fillId="11" borderId="7" xfId="0" applyFont="1" applyFill="1" applyBorder="1" applyAlignment="1" applyProtection="1">
      <alignment horizontal="center" vertical="center" wrapText="1"/>
    </xf>
    <xf numFmtId="1" fontId="39" fillId="7" borderId="4" xfId="0" applyNumberFormat="1" applyFont="1" applyFill="1" applyBorder="1" applyAlignment="1" applyProtection="1">
      <alignment horizontal="center" vertical="center" wrapText="1"/>
    </xf>
    <xf numFmtId="1" fontId="39" fillId="7" borderId="3" xfId="0" applyNumberFormat="1"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39" fillId="5" borderId="5" xfId="0" applyFont="1" applyFill="1" applyBorder="1" applyAlignment="1" applyProtection="1">
      <alignment horizontal="center" vertical="center" wrapText="1"/>
    </xf>
    <xf numFmtId="0" fontId="39" fillId="4" borderId="2" xfId="0" applyFont="1" applyFill="1" applyBorder="1" applyAlignment="1" applyProtection="1">
      <alignment horizontal="center" vertical="center" wrapText="1"/>
    </xf>
    <xf numFmtId="0" fontId="39" fillId="6" borderId="8" xfId="0" applyFont="1" applyFill="1" applyBorder="1" applyAlignment="1" applyProtection="1">
      <alignment horizontal="center" vertical="center" wrapText="1"/>
    </xf>
    <xf numFmtId="0" fontId="39" fillId="6" borderId="6" xfId="0" applyFont="1" applyFill="1" applyBorder="1" applyAlignment="1" applyProtection="1">
      <alignment horizontal="center" vertical="center" wrapText="1"/>
    </xf>
    <xf numFmtId="0" fontId="44" fillId="8" borderId="6" xfId="0" applyFont="1" applyFill="1" applyBorder="1" applyAlignment="1" applyProtection="1">
      <alignment horizontal="center"/>
    </xf>
    <xf numFmtId="0" fontId="44" fillId="9" borderId="6" xfId="0" applyFont="1" applyFill="1" applyBorder="1" applyAlignment="1" applyProtection="1">
      <alignment horizontal="center"/>
    </xf>
    <xf numFmtId="0" fontId="40" fillId="3" borderId="16" xfId="0" applyFont="1" applyFill="1" applyBorder="1" applyAlignment="1" applyProtection="1">
      <alignment horizontal="center" vertical="center" wrapText="1"/>
    </xf>
    <xf numFmtId="0" fontId="40" fillId="3" borderId="17" xfId="0" applyFont="1" applyFill="1" applyBorder="1" applyAlignment="1" applyProtection="1">
      <alignment horizontal="center" vertical="center" wrapText="1"/>
    </xf>
    <xf numFmtId="0" fontId="49" fillId="0" borderId="0" xfId="0" applyFont="1" applyAlignment="1">
      <alignment horizontal="left" vertical="center" wrapText="1"/>
    </xf>
  </cellXfs>
  <cellStyles count="14">
    <cellStyle name="Accent1" xfId="8" builtinId="29"/>
    <cellStyle name="Lien hypertexte" xfId="7" builtinId="8"/>
    <cellStyle name="Milliers" xfId="4" builtinId="3"/>
    <cellStyle name="Normal" xfId="0" builtinId="0"/>
    <cellStyle name="Normal 2" xfId="5"/>
    <cellStyle name="Normal 2 2" xfId="9"/>
    <cellStyle name="Normal 2 2 2" xfId="11"/>
    <cellStyle name="Normal 2 3" xfId="13"/>
    <cellStyle name="Normal 3" xfId="6"/>
    <cellStyle name="Normal 3 2" xfId="12"/>
    <cellStyle name="Normal 4 2" xfId="10"/>
    <cellStyle name="Pourcentage" xfId="2" builtinId="5"/>
    <cellStyle name="Satisfaisant" xfId="1" builtinId="26"/>
    <cellStyle name="Titre 1" xfId="3" builtinId="16"/>
  </cellStyles>
  <dxfs count="109">
    <dxf>
      <font>
        <b val="0"/>
        <i val="0"/>
        <strike val="0"/>
        <condense val="0"/>
        <extend val="0"/>
        <outline val="0"/>
        <shadow val="0"/>
        <u val="none"/>
        <vertAlign val="baseline"/>
        <sz val="11"/>
        <color auto="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b/>
        <i val="0"/>
        <strike val="0"/>
        <condense val="0"/>
        <extend val="0"/>
        <outline val="0"/>
        <shadow val="0"/>
        <u val="none"/>
        <vertAlign val="baseline"/>
        <sz val="11"/>
        <color theme="1"/>
        <name val="Calibri"/>
        <scheme val="minor"/>
      </font>
      <fill>
        <patternFill patternType="none">
          <fgColor indexed="64"/>
          <bgColor indexed="6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74706"/>
      </font>
      <fill>
        <patternFill>
          <bgColor rgb="FFFFEC8B"/>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0" formatCode="General"/>
      <alignment horizontal="center"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rgb="FF000000"/>
        <name val="Century Gothic"/>
        <scheme val="none"/>
      </font>
      <numFmt numFmtId="166" formatCode="0.000000"/>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70" formatCode="0.0000"/>
      <alignment horizontal="right"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170" formatCode="0.0000"/>
      <alignment horizontal="right"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000000"/>
        <name val="Century Gothic"/>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relativeIndent="255" justifyLastLine="0" shrinkToFit="0" readingOrder="0"/>
      <border diagonalUp="0" diagonalDown="0" outline="0">
        <left style="thin">
          <color theme="0"/>
        </left>
        <right style="thin">
          <color theme="0"/>
        </right>
        <top/>
        <bottom/>
      </border>
      <protection locked="1" hidden="0"/>
    </dxf>
    <dxf>
      <font>
        <condense val="0"/>
        <extend val="0"/>
        <color rgb="FF9C0006"/>
      </font>
      <fill>
        <patternFill>
          <bgColor rgb="FFFFC7CE"/>
        </patternFill>
      </fill>
    </dxf>
    <dxf>
      <font>
        <color rgb="FF9C0006"/>
      </font>
      <fill>
        <patternFill patternType="solid">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none">
          <bgColor auto="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i val="0"/>
        <color rgb="FFC00000"/>
      </font>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69"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69" formatCode="_(* #,##0_);_(* \(#,##0\);_(* &quot;-&quot;??_);_(@_)"/>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13" formatCode="0%"/>
      <alignment horizontal="center"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alignment horizontal="center"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numFmt numFmtId="3" formatCode="#,##0"/>
      <alignment horizontal="general" vertical="center"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numFmt numFmtId="2" formatCode="0.00"/>
      <alignment horizontal="general" vertical="center" textRotation="0" wrapText="1" indent="0" relativeIndent="255"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ttom style="thin">
          <color indexed="64"/>
        </bottom>
      </border>
    </dxf>
    <dxf>
      <font>
        <b val="0"/>
        <i val="0"/>
        <strike val="0"/>
        <condense val="0"/>
        <extend val="0"/>
        <outline val="0"/>
        <shadow val="0"/>
        <u val="none"/>
        <vertAlign val="baseline"/>
        <sz val="12"/>
        <color theme="0"/>
        <name val="Century Gothic"/>
        <scheme val="none"/>
      </font>
      <fill>
        <patternFill patternType="solid">
          <fgColor indexed="64"/>
          <bgColor rgb="FF175259"/>
        </patternFill>
      </fill>
      <alignment horizontal="center" vertical="center" textRotation="0" wrapText="1" indent="0" relativeIndent="255" justifyLastLine="0" shrinkToFit="0" readingOrder="0"/>
      <border diagonalUp="0" diagonalDown="0" outline="0">
        <left style="thin">
          <color theme="0"/>
        </left>
        <right style="thin">
          <color theme="0"/>
        </right>
        <top/>
        <bottom/>
      </border>
      <protection locked="1" hidden="0"/>
    </dxf>
    <dxf>
      <font>
        <color rgb="FF9C5700"/>
      </font>
      <fill>
        <patternFill>
          <bgColor rgb="FFFFEB9C"/>
        </patternFill>
      </fill>
    </dxf>
    <dxf>
      <font>
        <color rgb="FF9C5700"/>
      </font>
      <fill>
        <patternFill>
          <bgColor rgb="FFFFEB9C"/>
        </patternFill>
      </fill>
    </dxf>
    <dxf>
      <font>
        <color rgb="FF9C0006"/>
      </font>
      <fill>
        <patternFill patternType="solid">
          <bgColor rgb="FFFFC7CE"/>
        </patternFill>
      </fill>
    </dxf>
    <dxf>
      <fill>
        <patternFill patternType="none">
          <bgColor auto="1"/>
        </patternFill>
      </fill>
    </dxf>
    <dxf>
      <font>
        <color rgb="FF9C0006"/>
      </font>
      <fill>
        <patternFill patternType="none">
          <bgColor auto="1"/>
        </patternFill>
      </fill>
    </dxf>
    <dxf>
      <font>
        <color rgb="FF9C0006"/>
      </font>
      <fill>
        <patternFill>
          <bgColor rgb="FFFFC7CE"/>
        </patternFill>
      </fill>
    </dxf>
    <dxf>
      <font>
        <b val="0"/>
        <i val="0"/>
        <strike val="0"/>
        <condense val="0"/>
        <extend val="0"/>
        <outline val="0"/>
        <shadow val="0"/>
        <u val="none"/>
        <vertAlign val="baseline"/>
        <sz val="10"/>
        <color theme="1"/>
        <name val="Corbel"/>
        <scheme val="none"/>
      </font>
      <numFmt numFmtId="168" formatCode="_(* #,##0.0_);_(* \(#,##0.0\);_(* &quot;-&quot;??_);_(@_)"/>
      <alignment horizontal="general" vertical="bottom" textRotation="0" wrapText="0" indent="0" relativeIndent="255" justifyLastLine="0" shrinkToFit="0" readingOrder="0"/>
      <border diagonalUp="0" diagonalDown="0">
        <left style="thin">
          <color rgb="FF000000"/>
        </left>
        <right style="thin">
          <color rgb="FF000000"/>
        </right>
        <top style="thin">
          <color rgb="FF000000"/>
        </top>
        <bottom style="thin">
          <color rgb="FF000000"/>
        </bottom>
        <vertical/>
        <horizontal/>
      </border>
      <protection locked="1" hidden="0"/>
    </dxf>
    <dxf>
      <font>
        <b val="0"/>
        <i val="0"/>
        <strike val="0"/>
        <condense val="0"/>
        <extend val="0"/>
        <outline val="0"/>
        <shadow val="0"/>
        <u val="none"/>
        <vertAlign val="baseline"/>
        <sz val="10"/>
        <color theme="1"/>
        <name val="Corbel"/>
        <scheme val="none"/>
      </font>
      <alignment horizontal="general" vertical="bottom" textRotation="0" wrapText="0" indent="0" relativeIndent="255" justifyLastLine="0" shrinkToFit="0" readingOrder="0"/>
      <border diagonalUp="0" diagonalDown="0">
        <left style="thin">
          <color indexed="64"/>
        </left>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171" formatCode="d/m/yyyy"/>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entury Gothic"/>
        <scheme val="none"/>
      </font>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theme="1"/>
        <name val="Corbel"/>
        <scheme val="none"/>
      </font>
      <numFmt numFmtId="0" formatCode="General"/>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1" formatCode="0"/>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orbel"/>
        <scheme val="none"/>
      </font>
      <numFmt numFmtId="30" formatCode="@"/>
      <alignment horizontal="general" vertical="bottom" textRotation="0" wrapText="0"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relative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numFmt numFmtId="1" formatCode="0"/>
      <alignment horizontal="center" vertical="bottom" textRotation="0" wrapText="0" indent="0" relativeIndent="255" justifyLastLine="0" shrinkToFit="0" mergeCell="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30" formatCode="@"/>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none">
          <fgColor indexed="64"/>
          <bgColor indexed="65"/>
        </patternFill>
      </fill>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numFmt numFmtId="1" formatCode="0"/>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auto="1"/>
        <name val="Corbel"/>
        <scheme val="none"/>
      </font>
      <fill>
        <patternFill patternType="solid">
          <fgColor indexed="64"/>
          <bgColor rgb="FFFFFF00"/>
        </patternFill>
      </fill>
      <alignment horizontal="general" vertical="center" textRotation="0" wrapText="1" indent="0" relativeIndent="255"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border>
    </dxf>
    <dxf>
      <font>
        <strike val="0"/>
        <outline val="0"/>
        <shadow val="0"/>
        <u val="none"/>
        <vertAlign val="baseline"/>
        <sz val="12"/>
      </font>
    </dxf>
    <dxf>
      <font>
        <condense val="0"/>
        <extend val="0"/>
        <color rgb="FF9C0006"/>
      </font>
      <fill>
        <patternFill>
          <bgColor rgb="FFFFC7CE"/>
        </patternFill>
      </fill>
    </dxf>
    <dxf>
      <font>
        <color rgb="FF9C0006"/>
      </font>
      <fill>
        <patternFill patternType="solid">
          <bgColor rgb="FFFFC7CE"/>
        </patternFill>
      </fill>
    </dxf>
  </dxfs>
  <tableStyles count="0" defaultTableStyle="TableStyleMedium2" defaultPivotStyle="PivotStyleLight16"/>
  <colors>
    <mruColors>
      <color rgb="FFA6A6A6"/>
      <color rgb="FFFFEC8B"/>
      <color rgb="FF974706"/>
      <color rgb="FFFFC7CE"/>
      <color rgb="FF9C0006"/>
      <color rgb="FFC6EFCE"/>
      <color rgb="FF006100"/>
      <color rgb="FF175259"/>
      <color rgb="FFFF7373"/>
      <color rgb="FFDE8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xdr:row>
      <xdr:rowOff>52632</xdr:rowOff>
    </xdr:from>
    <xdr:to>
      <xdr:col>4</xdr:col>
      <xdr:colOff>588733</xdr:colOff>
      <xdr:row>23</xdr:row>
      <xdr:rowOff>74819</xdr:rowOff>
    </xdr:to>
    <xdr:pic>
      <xdr:nvPicPr>
        <xdr:cNvPr id="2" name="Picture 1">
          <a:extLst>
            <a:ext uri="{FF2B5EF4-FFF2-40B4-BE49-F238E27FC236}">
              <a16:creationId xmlns="" xmlns:a16="http://schemas.microsoft.com/office/drawing/2014/main" id="{8D231ACD-05EF-4CCB-ACB9-CBDDC893B23C}"/>
            </a:ext>
          </a:extLst>
        </xdr:cNvPr>
        <xdr:cNvPicPr>
          <a:picLocks noChangeAspect="1"/>
        </xdr:cNvPicPr>
      </xdr:nvPicPr>
      <xdr:blipFill>
        <a:blip xmlns:r="http://schemas.openxmlformats.org/officeDocument/2006/relationships" r:embed="rId1"/>
        <a:stretch>
          <a:fillRect/>
        </a:stretch>
      </xdr:blipFill>
      <xdr:spPr>
        <a:xfrm>
          <a:off x="0" y="1134672"/>
          <a:ext cx="3545293" cy="4778337"/>
        </a:xfrm>
        <a:prstGeom prst="rect">
          <a:avLst/>
        </a:prstGeom>
      </xdr:spPr>
    </xdr:pic>
    <xdr:clientData/>
  </xdr:twoCellAnchor>
</xdr:wsDr>
</file>

<file path=xl/tables/table1.xml><?xml version="1.0" encoding="utf-8"?>
<table xmlns="http://schemas.openxmlformats.org/spreadsheetml/2006/main" id="1" name="GroupMember" displayName="GroupMember" ref="A2:AI307" totalsRowShown="0" headerRowDxfId="106" tableBorderDxfId="105">
  <tableColumns count="35">
    <tableColumn id="1" name="1. Identifiant interne d’exploitation agricole*" dataDxfId="104"/>
    <tableColumn id="2" name="2. Identifiant national d’exploitation agricole**" dataDxfId="103"/>
    <tableColumn id="3" name="3. Identifiant interne d’exploitation agricole*" dataDxfId="102"/>
    <tableColumn id="4" name="4. Village*" dataDxfId="101"/>
    <tableColumn id="5" name="5. Ville" dataDxfId="100"/>
    <tableColumn id="6" name="6. District/État/Province*" dataDxfId="99"/>
    <tableColumn id="7" name="7. Région d’inspection interne" dataDxfId="98"/>
    <tableColumn id="8" name="8. Superficie totale de l’exploitation agricole (ha)*" dataDxfId="97"/>
    <tableColumn id="9" name="9. Type d’exploitation agricole*" dataDxfId="96"/>
    <tableColumn id="10" name="10. Nombre d’unités agricoles*" dataDxfId="95"/>
    <tableColumn id="11" name="11. Première année de certification RA*" dataDxfId="94"/>
    <tableColumn id="12" name="12. Prénom*" dataDxfId="93"/>
    <tableColumn id="13" name="13. Nom*" dataDxfId="92"/>
    <tableColumn id="14" name="14. Numéro de téléphone**" dataDxfId="91"/>
    <tableColumn id="15" name="15. Numéro d’identification national**" dataDxfId="90"/>
    <tableColumn id="16" name="16. Genre*" dataDxfId="89"/>
    <tableColumn id="17" name="17. Année de naissance*" dataDxfId="88"/>
    <tableColumn id="18" name="18. Taille du ménage*" dataDxfId="87"/>
    <tableColumn id="19" name="19. Nom" dataDxfId="86"/>
    <tableColumn id="20" name="20. Nom" dataDxfId="85"/>
    <tableColumn id="21" name="21. Numéro de téléphone" dataDxfId="84"/>
    <tableColumn id="22" name="22. Numéro d’identification national" dataDxfId="83"/>
    <tableColumn id="23" name="23. Genre" dataDxfId="82"/>
    <tableColumn id="24" name="24. Nombre de travailleurs permanents*" dataDxfId="81"/>
    <tableColumn id="25" name="25. Estimation du nombre de travailleurs temporaires par an*" dataDxfId="80"/>
    <tableColumn id="26" name="26. Nom de l’inspecteur interne*" dataDxfId="79"/>
    <tableColumn id="27" name="27. Année de l’inspection interne*" dataDxfId="78"/>
    <tableColumn id="28" name="28. Mois de l’inspection interne*" dataDxfId="77"/>
    <tableColumn id="29" name="29. Jour de l’inspection interne*" dataDxfId="76"/>
    <tableColumn id="30" name="1. Identifiant interne de membre du groupe présent sur la feuille 2. Produit agricole certifié" dataDxfId="75">
      <calculatedColumnFormula>IF(ISBLANK(GroupMember[[#This Row],[1. Identifiant interne d’exploitation agricole*]]),"",IF(ISERROR(MATCH(GroupMember[[#This Row],[1. Identifiant interne d’exploitation agricole*]],CertifiedCrop[1. Identifiant interne d’exploitation agricole*],0)),FALSE,TRUE))</calculatedColumnFormula>
    </tableColumn>
    <tableColumn id="36" name="1. Identifiant interne de membre du groupe présent sur la feuille 3. Unité agricole" dataDxfId="74">
      <calculatedColumnFormula>IF(ISBLANK(GroupMember[[#This Row],[1. Identifiant interne d’exploitation agricole*]]),"",IF(ISERROR(MATCH(GroupMember[[#This Row],[1. Identifiant interne d’exploitation agricole*]],FarmUnit[1. Identifiant interne d’exploitation agricole*],0)),FALSE,TRUE))</calculatedColumnFormula>
    </tableColumn>
    <tableColumn id="35" name="Nom des membres du groupe" dataDxfId="73">
      <calculatedColumnFormula>IFERROR(CONCATENATE(L3," ",M3),"")</calculatedColumnFormula>
    </tableColumn>
    <tableColumn id="31" name="Date d’inspection interne" dataDxfId="72">
      <calculatedColumnFormula>CONCATENATE(AC3,"/",AB3,"/",AA3)</calculatedColumnFormula>
    </tableColumn>
    <tableColumn id="32" name="Nbre d’inspections internes effectuées ce jour-là par cet inspecteur" dataDxfId="71">
      <calculatedColumnFormula>COUNTIFS(Z:Z,Z3,AG:AG,AG3)</calculatedColumnFormula>
    </tableColumn>
    <tableColumn id="33" name="Nbre total de travailleurs (si temporaire = 1 mois)" dataDxfId="70">
      <calculatedColumnFormula>IF((X3+Y3/12)&lt;0,"",(X3+Y3/12))</calculatedColumnFormula>
    </tableColumn>
  </tableColumns>
  <tableStyleInfo name="TableStyleLight1" showFirstColumn="0" showLastColumn="0" showRowStripes="1" showColumnStripes="0"/>
</table>
</file>

<file path=xl/tables/table2.xml><?xml version="1.0" encoding="utf-8"?>
<table xmlns="http://schemas.openxmlformats.org/spreadsheetml/2006/main" id="2" name="CertifiedCrop" displayName="CertifiedCrop" ref="A2:R307" totalsRowShown="0" headerRowDxfId="63" tableBorderDxfId="62">
  <autoFilter ref="A2:R307"/>
  <tableColumns count="18">
    <tableColumn id="1" name="1. Identifiant interne d’exploitation agricole*" dataDxfId="61"/>
    <tableColumn id="2" name="2. Produit agricole certifié*" dataDxfId="60"/>
    <tableColumn id="3" name="3. Variété**" dataDxfId="59"/>
    <tableColumn id="4" name="4. Superficie des produits agricoles certifiés * &#10;(ha)" dataDxfId="58"/>
    <tableColumn id="5" name="5. Estimation totale de la récolte de l’année en cours* &#10;(en kg ou en tiges de fleurs)" dataDxfId="57"/>
    <tableColumn id="6" name="6. Récolte totale de l’année précédente* &#10;(en kg ou en tiges de fleurs)" dataDxfId="56"/>
    <tableColumn id="7" name="7. Volume vendu/livré au groupe l’année précédente *&#10;(en kg ou en tiges de fleurs)" dataDxfId="55"/>
    <tableColumn id="8" name="8. Volume vendu/livré au groupe les 2 années précédentes **&#10;(en kg ou en tiges de fleurs)" dataDxfId="54"/>
    <tableColumn id="9" name="9. Volume vendu/livré au groupe les 3 années précédentes **&#10;(en kg ou en tiges de fleurs)" dataDxfId="53"/>
    <tableColumn id="17" name="1. Identifiant interne de l’exploitation agricole présent sur la feuille 1. Membre du groupe" dataDxfId="52">
      <calculatedColumnFormula>IF(ISBLANK(CertifiedCrop[[#This Row],[1. Identifiant interne d’exploitation agricole*]]),"",IF(ISERROR(MATCH(CertifiedCrop[[#This Row],[1. Identifiant interne d’exploitation agricole*]],GroupMember[1. Identifiant interne d’exploitation agricole*],0)),FALSE,TRUE))</calculatedColumnFormula>
    </tableColumn>
    <tableColumn id="18" name="2. Produit agricole certifié et 3. La combinaison de variétés est présente sur la liste des produits agricoles de la feuille." dataDxfId="51">
      <calculatedColumnFormula array="1">IF(ISBLANK(CertifiedCrop[[#This Row],[2. Produit agricole certifié*]]),"",IF(ISERROR(MATCH(1,(#REF!=CertifiedCrop[[#This Row],[2. Produit agricole certifié*]])*(#REF!=CertifiedCrop[[#This Row],[3. Variété**]]),0)),FALSE,TRUE))</calculatedColumnFormula>
    </tableColumn>
    <tableColumn id="10" name="Le volume vendu est supérieur à la récolte totale" dataDxfId="50">
      <calculatedColumnFormula>IF((F3-G3)&lt;0,"!","")</calculatedColumnFormula>
    </tableColumn>
    <tableColumn id="11" name="Croissance de la récolte" dataDxfId="49">
      <calculatedColumnFormula>IFERROR(IF((F3-G3)/G3&gt;25%,"!",IF((F3-G3)/G3&lt;-25%,"!","")),"")</calculatedColumnFormula>
    </tableColumn>
    <tableColumn id="12" name="Croissance du volume des ventes" dataDxfId="48">
      <calculatedColumnFormula>IFERROR(IF((G3-H3)/H3&gt;25%,"!",IF((G3-H3)/H3&lt;-25%,"!","")),"")</calculatedColumnFormula>
    </tableColumn>
    <tableColumn id="13" name="Rendement &#10;estimé/ha" dataDxfId="47">
      <calculatedColumnFormula>IFERROR(E3/D3,"")</calculatedColumnFormula>
    </tableColumn>
    <tableColumn id="14" name="Rendement/ha&#10;de l’année précédente" dataDxfId="46">
      <calculatedColumnFormula>IFERROR(F3/D3,"")</calculatedColumnFormula>
    </tableColumn>
    <tableColumn id="15" name="Superficie certifiée moins la superficie totale de l’exploitation" dataDxfId="45">
      <calculatedColumnFormula>IFERROR((VLOOKUP(A3,GM_Table,8,FALSE)-SUMIFS(D:D,A:A,A3,B:B,B3,C:C,C3)),"")</calculatedColumnFormula>
    </tableColumn>
    <tableColumn id="16" name="Membre du groupe" dataDxfId="44">
      <calculatedColumnFormula>IFERROR(CONCATENATE(VLOOKUP(A3,GM_Table,12,FALSE)," ",(VLOOKUP(A3,GM_Table,13,FALSE))),"")</calculatedColumnFormula>
    </tableColumn>
  </tableColumns>
  <tableStyleInfo name="TableStyleLight1" showFirstColumn="0" showLastColumn="0" showRowStripes="1" showColumnStripes="0"/>
</table>
</file>

<file path=xl/tables/table3.xml><?xml version="1.0" encoding="utf-8"?>
<table xmlns="http://schemas.openxmlformats.org/spreadsheetml/2006/main" id="3" name="FarmUnit" displayName="FarmUnit" ref="A2:J307" totalsRowShown="0" headerRowDxfId="31" tableBorderDxfId="30">
  <autoFilter ref="A2:J307"/>
  <tableColumns count="10">
    <tableColumn id="1" name="1. Identifiant interne d’exploitation agricole*" dataDxfId="29"/>
    <tableColumn id="2" name="2. Identifiant d’unité agricole*" dataDxfId="28"/>
    <tableColumn id="3" name="3. Superficie de l’unité agricole (ha)*" dataDxfId="27"/>
    <tableColumn id="4" name="4. Latitude (format DD)**" dataDxfId="26"/>
    <tableColumn id="5" name="5. Longitude (format DD)**" dataDxfId="25"/>
    <tableColumn id="10" name="1. Identifiant interne de l’exploitation agricole présent sur la feuille 1. Membre du groupe" dataDxfId="24">
      <calculatedColumnFormula>IF(ISBLANK(FarmUnit[[#This Row],[1. Identifiant interne d’exploitation agricole*]]),"",IF(ISERROR(MATCH(FarmUnit[[#This Row],[1. Identifiant interne d’exploitation agricole*]],GroupMember[1. Identifiant interne d’exploitation agricole*],0)),FALSE,TRUE))</calculatedColumnFormula>
    </tableColumn>
    <tableColumn id="6" name="Vérification de la latitude" dataDxfId="23">
      <calculatedColumnFormula>IF(D3=0,"",D3)</calculatedColumnFormula>
    </tableColumn>
    <tableColumn id="7" name="Vérification de la longitude" dataDxfId="22">
      <calculatedColumnFormula>IF(E3=0,"",E3)</calculatedColumnFormula>
    </tableColumn>
    <tableColumn id="8" name="S’agit-il de la plus grande unité agricole" dataDxfId="21">
      <calculatedColumnFormula array="1">IF(ISBLANK(C3),"",IF(C3=MAX(IF([1. Identifiant interne d’exploitation agricole*]=A3,[3. Superficie de l’unité agricole (ha)*])),"!","-"))</calculatedColumnFormula>
    </tableColumn>
    <tableColumn id="9" name="Membre du groupe" dataDxfId="20">
      <calculatedColumnFormula>IFERROR(CONCATENATE(VLOOKUP(A3,GM_Table,12,FALSE)," ",(VLOOKUP(A3,GM_Table,13,FALSE))),"")</calculatedColumnFormula>
    </tableColumn>
  </tableColumns>
  <tableStyleInfo name="TableStyleLight1" showFirstColumn="0" showLastColumn="0" showRowStripes="1" showColumnStripes="0"/>
</table>
</file>

<file path=xl/tables/table4.xml><?xml version="1.0" encoding="utf-8"?>
<table xmlns="http://schemas.openxmlformats.org/spreadsheetml/2006/main" id="5" name="Croplist6" displayName="Croplist6" ref="A1:D372" totalsRowShown="0" dataDxfId="4">
  <autoFilter ref="A1:D372"/>
  <tableColumns count="4">
    <tableColumn id="1" name="Nom final du produit agricole" dataDxfId="3"/>
    <tableColumn id="2" name="Variété finale" dataDxfId="2"/>
    <tableColumn id="3" name="Champ d’application de la certification (si aucun autre produit agricole RA)" dataDxfId="1"/>
    <tableColumn id="4" name="Catégorie" dataDxfId="0"/>
  </tableColumns>
  <tableStyleInfo name="TableStyleMedium2" showFirstColumn="0" showLastColumn="0" showRowStripes="1" showColumnStripes="0"/>
</table>
</file>

<file path=xl/theme/theme1.xml><?xml version="1.0" encoding="utf-8"?>
<a:theme xmlns:a="http://schemas.openxmlformats.org/drawingml/2006/main" name="Office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tabColor rgb="FF175259"/>
  </sheetPr>
  <dimension ref="A1:M36"/>
  <sheetViews>
    <sheetView showGridLines="0" showWhiteSpace="0" workbookViewId="0">
      <selection activeCell="D32" sqref="D32"/>
    </sheetView>
  </sheetViews>
  <sheetFormatPr baseColWidth="10" defaultColWidth="10.7109375" defaultRowHeight="15"/>
  <cols>
    <col min="1" max="5" width="10.7109375" style="29"/>
    <col min="6" max="6" width="11.7109375" style="29" customWidth="1"/>
    <col min="7" max="7" width="15.42578125" style="29" customWidth="1"/>
    <col min="8" max="16384" width="10.7109375" style="29"/>
  </cols>
  <sheetData>
    <row r="1" spans="1:13" ht="43.5">
      <c r="A1" s="28" t="s">
        <v>296</v>
      </c>
    </row>
    <row r="2" spans="1:13" ht="25.5">
      <c r="A2" s="30" t="s">
        <v>297</v>
      </c>
    </row>
    <row r="3" spans="1:13" ht="18">
      <c r="A3" s="31" t="s">
        <v>0</v>
      </c>
    </row>
    <row r="4" spans="1:13" ht="16.149999999999999" customHeight="1">
      <c r="F4" s="32" t="s">
        <v>298</v>
      </c>
    </row>
    <row r="5" spans="1:13" ht="18" customHeight="1">
      <c r="A5" s="31"/>
      <c r="F5" s="220" t="s">
        <v>299</v>
      </c>
      <c r="G5" s="220"/>
      <c r="H5" s="220"/>
      <c r="I5" s="220"/>
      <c r="J5" s="220"/>
      <c r="K5" s="220"/>
      <c r="L5" s="220"/>
      <c r="M5" s="220"/>
    </row>
    <row r="6" spans="1:13">
      <c r="F6" s="220"/>
      <c r="G6" s="220"/>
      <c r="H6" s="220"/>
      <c r="I6" s="220"/>
      <c r="J6" s="220"/>
      <c r="K6" s="220"/>
      <c r="L6" s="220"/>
      <c r="M6" s="220"/>
    </row>
    <row r="7" spans="1:13">
      <c r="F7" s="220"/>
      <c r="G7" s="220"/>
      <c r="H7" s="220"/>
      <c r="I7" s="220"/>
      <c r="J7" s="220"/>
      <c r="K7" s="220"/>
      <c r="L7" s="220"/>
      <c r="M7" s="220"/>
    </row>
    <row r="8" spans="1:13">
      <c r="F8" s="220"/>
      <c r="G8" s="220"/>
      <c r="H8" s="220"/>
      <c r="I8" s="220"/>
      <c r="J8" s="220"/>
      <c r="K8" s="220"/>
      <c r="L8" s="220"/>
      <c r="M8" s="220"/>
    </row>
    <row r="9" spans="1:13" ht="16.149999999999999" customHeight="1">
      <c r="F9" s="33" t="s">
        <v>300</v>
      </c>
    </row>
    <row r="10" spans="1:13" ht="16.149999999999999" customHeight="1">
      <c r="F10" s="225" t="s">
        <v>301</v>
      </c>
      <c r="G10" s="225"/>
      <c r="H10" s="225"/>
      <c r="I10" s="225"/>
      <c r="J10" s="225"/>
      <c r="K10" s="225"/>
      <c r="L10" s="225"/>
      <c r="M10" s="225"/>
    </row>
    <row r="11" spans="1:13" ht="23.65" customHeight="1">
      <c r="F11" s="225"/>
      <c r="G11" s="225"/>
      <c r="H11" s="225"/>
      <c r="I11" s="225"/>
      <c r="J11" s="225"/>
      <c r="K11" s="225"/>
      <c r="L11" s="225"/>
      <c r="M11" s="225"/>
    </row>
    <row r="12" spans="1:13" ht="16.149999999999999" customHeight="1">
      <c r="F12" s="142"/>
      <c r="G12" s="142"/>
      <c r="H12" s="142"/>
      <c r="I12" s="142"/>
      <c r="J12" s="142"/>
      <c r="K12" s="142"/>
      <c r="L12" s="142"/>
      <c r="M12" s="142"/>
    </row>
    <row r="13" spans="1:13" ht="18.600000000000001" customHeight="1">
      <c r="F13" s="211" t="s">
        <v>302</v>
      </c>
      <c r="G13" s="226"/>
      <c r="H13" s="226"/>
      <c r="I13" s="226"/>
      <c r="J13" s="227" t="s">
        <v>303</v>
      </c>
      <c r="K13" s="227"/>
      <c r="L13" s="227" t="s">
        <v>304</v>
      </c>
      <c r="M13" s="227"/>
    </row>
    <row r="14" spans="1:13" ht="22.15" customHeight="1">
      <c r="F14" s="214" t="s">
        <v>305</v>
      </c>
      <c r="G14" s="214"/>
      <c r="H14" s="214"/>
      <c r="I14" s="214"/>
      <c r="J14" s="214" t="s">
        <v>1</v>
      </c>
      <c r="K14" s="214"/>
      <c r="L14" s="214">
        <v>1.2</v>
      </c>
      <c r="M14" s="214"/>
    </row>
    <row r="15" spans="1:13" s="34" customFormat="1" ht="31.9" customHeight="1">
      <c r="F15" s="215" t="s">
        <v>306</v>
      </c>
      <c r="G15" s="215"/>
      <c r="H15" s="223" t="s">
        <v>307</v>
      </c>
      <c r="I15" s="223"/>
      <c r="J15" s="211" t="s">
        <v>308</v>
      </c>
      <c r="K15" s="211"/>
      <c r="L15" s="211" t="s">
        <v>309</v>
      </c>
      <c r="M15" s="211"/>
    </row>
    <row r="16" spans="1:13" ht="18.600000000000001" customHeight="1">
      <c r="F16" s="222" t="s">
        <v>310</v>
      </c>
      <c r="G16" s="222"/>
      <c r="H16" s="224" t="s">
        <v>2</v>
      </c>
      <c r="I16" s="222"/>
      <c r="J16" s="222" t="s">
        <v>311</v>
      </c>
      <c r="K16" s="222"/>
      <c r="L16" s="222" t="s">
        <v>312</v>
      </c>
      <c r="M16" s="222"/>
    </row>
    <row r="17" spans="1:13" ht="18.600000000000001" customHeight="1">
      <c r="F17" s="215" t="s">
        <v>313</v>
      </c>
      <c r="G17" s="215"/>
      <c r="H17" s="215"/>
      <c r="I17" s="215"/>
      <c r="J17" s="215" t="s">
        <v>314</v>
      </c>
      <c r="K17" s="215"/>
      <c r="L17" s="215"/>
      <c r="M17" s="215"/>
    </row>
    <row r="18" spans="1:13" ht="26.65" customHeight="1">
      <c r="F18" s="212" t="s">
        <v>315</v>
      </c>
      <c r="G18" s="212"/>
      <c r="H18" s="212"/>
      <c r="I18" s="212"/>
      <c r="J18" s="212" t="s">
        <v>316</v>
      </c>
      <c r="K18" s="212"/>
      <c r="L18" s="212"/>
      <c r="M18" s="212"/>
    </row>
    <row r="19" spans="1:13" ht="18.600000000000001" customHeight="1">
      <c r="F19" s="211" t="s">
        <v>317</v>
      </c>
      <c r="G19" s="211"/>
      <c r="H19" s="211"/>
      <c r="I19" s="211"/>
      <c r="J19" s="211"/>
      <c r="K19" s="211"/>
      <c r="L19" s="211"/>
      <c r="M19" s="211"/>
    </row>
    <row r="20" spans="1:13" ht="18.600000000000001" customHeight="1">
      <c r="F20" s="216" t="s">
        <v>318</v>
      </c>
      <c r="G20" s="217"/>
      <c r="H20" s="217"/>
      <c r="I20" s="217"/>
      <c r="J20" s="217"/>
      <c r="K20" s="217"/>
      <c r="L20" s="217"/>
      <c r="M20" s="218"/>
    </row>
    <row r="21" spans="1:13" ht="18.600000000000001" customHeight="1">
      <c r="F21" s="219"/>
      <c r="G21" s="220"/>
      <c r="H21" s="220"/>
      <c r="I21" s="220"/>
      <c r="J21" s="220"/>
      <c r="K21" s="220"/>
      <c r="L21" s="220"/>
      <c r="M21" s="221"/>
    </row>
    <row r="22" spans="1:13" ht="18.600000000000001" customHeight="1">
      <c r="F22" s="219"/>
      <c r="G22" s="220"/>
      <c r="H22" s="220"/>
      <c r="I22" s="220"/>
      <c r="J22" s="220"/>
      <c r="K22" s="220"/>
      <c r="L22" s="220"/>
      <c r="M22" s="221"/>
    </row>
    <row r="23" spans="1:13" ht="18.600000000000001" customHeight="1">
      <c r="F23" s="211" t="s">
        <v>319</v>
      </c>
      <c r="G23" s="211"/>
      <c r="H23" s="211"/>
      <c r="I23" s="211"/>
      <c r="J23" s="211"/>
      <c r="K23" s="211"/>
      <c r="L23" s="211"/>
      <c r="M23" s="211"/>
    </row>
    <row r="24" spans="1:13" ht="18.600000000000001" customHeight="1">
      <c r="F24" s="214"/>
      <c r="G24" s="214"/>
      <c r="H24" s="214"/>
      <c r="I24" s="214"/>
      <c r="J24" s="214"/>
      <c r="K24" s="214"/>
      <c r="L24" s="214"/>
      <c r="M24" s="214"/>
    </row>
    <row r="25" spans="1:13" ht="18.600000000000001" customHeight="1">
      <c r="F25" s="211" t="s">
        <v>320</v>
      </c>
      <c r="G25" s="211"/>
      <c r="H25" s="211"/>
      <c r="I25" s="211"/>
      <c r="J25" s="211"/>
      <c r="K25" s="211"/>
      <c r="L25" s="211"/>
      <c r="M25" s="211"/>
    </row>
    <row r="26" spans="1:13" ht="18.600000000000001" customHeight="1">
      <c r="F26" s="222" t="s">
        <v>321</v>
      </c>
      <c r="G26" s="222"/>
      <c r="H26" s="222"/>
      <c r="I26" s="222"/>
      <c r="J26" s="222"/>
      <c r="K26" s="222"/>
      <c r="L26" s="222"/>
      <c r="M26" s="222"/>
    </row>
    <row r="27" spans="1:13" ht="18.600000000000001" customHeight="1">
      <c r="F27" s="211" t="s">
        <v>322</v>
      </c>
      <c r="G27" s="211"/>
      <c r="H27" s="211"/>
      <c r="I27" s="211"/>
      <c r="J27" s="211"/>
      <c r="K27" s="211"/>
      <c r="L27" s="211"/>
      <c r="M27" s="211"/>
    </row>
    <row r="28" spans="1:13" ht="18.600000000000001" customHeight="1">
      <c r="F28" s="214" t="s">
        <v>323</v>
      </c>
      <c r="G28" s="214"/>
      <c r="H28" s="214"/>
      <c r="I28" s="214"/>
      <c r="J28" s="214"/>
      <c r="K28" s="214"/>
      <c r="L28" s="214"/>
      <c r="M28" s="214"/>
    </row>
    <row r="29" spans="1:13" ht="18.600000000000001" customHeight="1">
      <c r="F29" s="211" t="s">
        <v>324</v>
      </c>
      <c r="G29" s="211"/>
      <c r="H29" s="211"/>
      <c r="I29" s="211"/>
      <c r="J29" s="211" t="s">
        <v>325</v>
      </c>
      <c r="K29" s="211"/>
      <c r="L29" s="211"/>
      <c r="M29" s="211"/>
    </row>
    <row r="30" spans="1:13" ht="18.75" customHeight="1">
      <c r="A30" s="35" t="s">
        <v>328</v>
      </c>
      <c r="F30" s="212" t="s">
        <v>326</v>
      </c>
      <c r="G30" s="212"/>
      <c r="H30" s="212"/>
      <c r="I30" s="212"/>
      <c r="J30" s="212" t="s">
        <v>327</v>
      </c>
      <c r="K30" s="212"/>
      <c r="L30" s="212"/>
      <c r="M30" s="212"/>
    </row>
    <row r="31" spans="1:13" ht="21" customHeight="1">
      <c r="F31" s="212"/>
      <c r="G31" s="212"/>
      <c r="H31" s="212"/>
      <c r="I31" s="212"/>
      <c r="J31" s="212"/>
      <c r="K31" s="212"/>
      <c r="L31" s="212"/>
      <c r="M31" s="212"/>
    </row>
    <row r="32" spans="1:13" ht="21" customHeight="1">
      <c r="F32" s="79"/>
      <c r="G32" s="79"/>
      <c r="H32" s="79"/>
      <c r="I32" s="79"/>
      <c r="J32" s="79"/>
      <c r="K32" s="79"/>
      <c r="L32" s="79"/>
      <c r="M32" s="79"/>
    </row>
    <row r="33" spans="1:13">
      <c r="A33" s="36" t="s">
        <v>3</v>
      </c>
      <c r="F33" s="4" t="s">
        <v>329</v>
      </c>
    </row>
    <row r="34" spans="1:13" ht="14.65" customHeight="1">
      <c r="F34" s="213" t="s">
        <v>330</v>
      </c>
      <c r="G34" s="213"/>
      <c r="H34" s="213"/>
      <c r="I34" s="213"/>
      <c r="J34" s="213"/>
      <c r="K34" s="213"/>
      <c r="L34" s="213"/>
      <c r="M34" s="213"/>
    </row>
    <row r="35" spans="1:13">
      <c r="F35" s="213"/>
      <c r="G35" s="213"/>
      <c r="H35" s="213"/>
      <c r="I35" s="213"/>
      <c r="J35" s="213"/>
      <c r="K35" s="213"/>
      <c r="L35" s="213"/>
      <c r="M35" s="213"/>
    </row>
    <row r="36" spans="1:13">
      <c r="F36" s="37"/>
    </row>
  </sheetData>
  <sheetProtection sheet="1" objects="1" scenarios="1"/>
  <mergeCells count="33">
    <mergeCell ref="F14:I14"/>
    <mergeCell ref="J14:K14"/>
    <mergeCell ref="L14:M14"/>
    <mergeCell ref="F5:M8"/>
    <mergeCell ref="F10:M11"/>
    <mergeCell ref="F13:I13"/>
    <mergeCell ref="J13:K13"/>
    <mergeCell ref="L13:M13"/>
    <mergeCell ref="F15:G15"/>
    <mergeCell ref="H15:I15"/>
    <mergeCell ref="J15:K15"/>
    <mergeCell ref="L15:M15"/>
    <mergeCell ref="F16:G16"/>
    <mergeCell ref="H16:I16"/>
    <mergeCell ref="J16:K16"/>
    <mergeCell ref="L16:M16"/>
    <mergeCell ref="F28:M28"/>
    <mergeCell ref="F17:I17"/>
    <mergeCell ref="J17:M17"/>
    <mergeCell ref="F18:I18"/>
    <mergeCell ref="J18:M18"/>
    <mergeCell ref="F19:M19"/>
    <mergeCell ref="F20:M22"/>
    <mergeCell ref="F23:M23"/>
    <mergeCell ref="F24:M24"/>
    <mergeCell ref="F25:M25"/>
    <mergeCell ref="F26:M26"/>
    <mergeCell ref="F27:M27"/>
    <mergeCell ref="F29:I29"/>
    <mergeCell ref="J29:M29"/>
    <mergeCell ref="F30:I31"/>
    <mergeCell ref="J30:M31"/>
    <mergeCell ref="F34:M35"/>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sheetPr codeName="Sayfa1">
    <tabColor rgb="FF94BA29"/>
    <pageSetUpPr fitToPage="1"/>
  </sheetPr>
  <dimension ref="A1:AP307"/>
  <sheetViews>
    <sheetView tabSelected="1" zoomScale="80" zoomScaleNormal="80" zoomScalePageLayoutView="75" workbookViewId="0">
      <pane xSplit="1" topLeftCell="J1" activePane="topRight" state="frozen"/>
      <selection activeCell="B4" sqref="B4"/>
      <selection pane="topRight" activeCell="S28" sqref="S28"/>
    </sheetView>
  </sheetViews>
  <sheetFormatPr baseColWidth="10" defaultColWidth="11.42578125" defaultRowHeight="12.75"/>
  <cols>
    <col min="1" max="1" width="22.28515625" style="2" customWidth="1"/>
    <col min="2" max="2" width="23.42578125" style="2" customWidth="1"/>
    <col min="3" max="3" width="21.7109375" style="2" customWidth="1"/>
    <col min="4" max="4" width="18.28515625" style="2" customWidth="1"/>
    <col min="5" max="5" width="20.42578125" style="2" customWidth="1"/>
    <col min="6" max="6" width="22.28515625" style="2" customWidth="1"/>
    <col min="7" max="7" width="21.42578125" style="2" customWidth="1"/>
    <col min="8" max="8" width="19.7109375" style="3" customWidth="1"/>
    <col min="9" max="9" width="20.7109375" style="2" customWidth="1"/>
    <col min="10" max="10" width="18.5703125" style="2" customWidth="1"/>
    <col min="11" max="11" width="21.7109375" style="3" customWidth="1"/>
    <col min="12" max="12" width="22.5703125" style="2" customWidth="1"/>
    <col min="13" max="13" width="20.7109375" style="2" customWidth="1"/>
    <col min="14" max="14" width="23.28515625" style="2" customWidth="1"/>
    <col min="15" max="15" width="22" style="2" customWidth="1"/>
    <col min="16" max="17" width="20.7109375" style="2" customWidth="1"/>
    <col min="18" max="18" width="19" style="2" customWidth="1"/>
    <col min="19" max="20" width="20.7109375" style="2" customWidth="1"/>
    <col min="21" max="21" width="21.28515625" style="2" customWidth="1"/>
    <col min="22" max="22" width="26" style="2" customWidth="1"/>
    <col min="23" max="23" width="20.7109375" style="2" customWidth="1"/>
    <col min="24" max="24" width="24.5703125" style="3" customWidth="1"/>
    <col min="25" max="25" width="35" style="3" customWidth="1"/>
    <col min="26" max="26" width="25.7109375" style="60" customWidth="1"/>
    <col min="27" max="27" width="24" style="61" customWidth="1"/>
    <col min="28" max="28" width="22.7109375" style="60" customWidth="1"/>
    <col min="29" max="29" width="21.28515625" style="60" customWidth="1"/>
    <col min="30" max="32" width="23.7109375" style="67" customWidth="1"/>
    <col min="33" max="33" width="18" style="67" customWidth="1"/>
    <col min="34" max="35" width="21.42578125" style="68" customWidth="1"/>
    <col min="36" max="36" width="31.5703125" style="2" customWidth="1"/>
    <col min="37" max="37" width="13" style="2" customWidth="1"/>
    <col min="38" max="16384" width="11.42578125" style="2"/>
  </cols>
  <sheetData>
    <row r="1" spans="1:42" s="82" customFormat="1" ht="55.9" customHeight="1">
      <c r="A1" s="146" t="s">
        <v>99</v>
      </c>
      <c r="B1" s="228" t="s">
        <v>110</v>
      </c>
      <c r="C1" s="228"/>
      <c r="D1" s="228"/>
      <c r="E1" s="228"/>
      <c r="F1" s="228"/>
      <c r="G1" s="228"/>
      <c r="H1" s="228"/>
      <c r="I1" s="228"/>
      <c r="J1" s="228"/>
      <c r="K1" s="229"/>
      <c r="L1" s="234" t="s">
        <v>118</v>
      </c>
      <c r="M1" s="234"/>
      <c r="N1" s="234"/>
      <c r="O1" s="234"/>
      <c r="P1" s="234"/>
      <c r="Q1" s="234"/>
      <c r="R1" s="234"/>
      <c r="S1" s="232" t="s">
        <v>124</v>
      </c>
      <c r="T1" s="233"/>
      <c r="U1" s="233"/>
      <c r="V1" s="233"/>
      <c r="W1" s="233"/>
      <c r="X1" s="230" t="s">
        <v>127</v>
      </c>
      <c r="Y1" s="231"/>
      <c r="Z1" s="235" t="s">
        <v>132</v>
      </c>
      <c r="AA1" s="236"/>
      <c r="AB1" s="236"/>
      <c r="AC1" s="236"/>
      <c r="AD1" s="80"/>
      <c r="AE1" s="141" t="s">
        <v>139</v>
      </c>
      <c r="AF1" s="141" t="s">
        <v>140</v>
      </c>
      <c r="AG1" s="141" t="s">
        <v>141</v>
      </c>
      <c r="AH1" s="80"/>
      <c r="AI1" s="80"/>
      <c r="AJ1" s="81"/>
      <c r="AK1" s="81"/>
      <c r="AL1" s="81"/>
      <c r="AM1" s="81"/>
      <c r="AN1" s="81"/>
      <c r="AO1" s="81"/>
      <c r="AP1" s="81"/>
    </row>
    <row r="2" spans="1:42" s="87" customFormat="1" ht="90">
      <c r="A2" s="147" t="s">
        <v>100</v>
      </c>
      <c r="B2" s="148" t="s">
        <v>101</v>
      </c>
      <c r="C2" s="148" t="s">
        <v>102</v>
      </c>
      <c r="D2" s="148" t="s">
        <v>4</v>
      </c>
      <c r="E2" s="148" t="s">
        <v>103</v>
      </c>
      <c r="F2" s="148" t="s">
        <v>104</v>
      </c>
      <c r="G2" s="148" t="s">
        <v>105</v>
      </c>
      <c r="H2" s="149" t="s">
        <v>106</v>
      </c>
      <c r="I2" s="148" t="s">
        <v>107</v>
      </c>
      <c r="J2" s="148" t="s">
        <v>108</v>
      </c>
      <c r="K2" s="149" t="s">
        <v>109</v>
      </c>
      <c r="L2" s="150" t="s">
        <v>111</v>
      </c>
      <c r="M2" s="150" t="s">
        <v>112</v>
      </c>
      <c r="N2" s="150" t="s">
        <v>113</v>
      </c>
      <c r="O2" s="150" t="s">
        <v>114</v>
      </c>
      <c r="P2" s="150" t="s">
        <v>115</v>
      </c>
      <c r="Q2" s="150" t="s">
        <v>116</v>
      </c>
      <c r="R2" s="151" t="s">
        <v>117</v>
      </c>
      <c r="S2" s="152" t="s">
        <v>119</v>
      </c>
      <c r="T2" s="152" t="s">
        <v>120</v>
      </c>
      <c r="U2" s="152" t="s">
        <v>121</v>
      </c>
      <c r="V2" s="152" t="s">
        <v>122</v>
      </c>
      <c r="W2" s="152" t="s">
        <v>123</v>
      </c>
      <c r="X2" s="84" t="s">
        <v>125</v>
      </c>
      <c r="Y2" s="84" t="s">
        <v>126</v>
      </c>
      <c r="Z2" s="153" t="s">
        <v>128</v>
      </c>
      <c r="AA2" s="154" t="s">
        <v>129</v>
      </c>
      <c r="AB2" s="153" t="s">
        <v>130</v>
      </c>
      <c r="AC2" s="155" t="s">
        <v>131</v>
      </c>
      <c r="AD2" s="141" t="s">
        <v>133</v>
      </c>
      <c r="AE2" s="141" t="s">
        <v>134</v>
      </c>
      <c r="AF2" s="141" t="s">
        <v>135</v>
      </c>
      <c r="AG2" s="141" t="s">
        <v>136</v>
      </c>
      <c r="AH2" s="141" t="s">
        <v>137</v>
      </c>
      <c r="AI2" s="141" t="s">
        <v>138</v>
      </c>
      <c r="AJ2" s="85" t="s">
        <v>142</v>
      </c>
      <c r="AK2" s="86"/>
      <c r="AL2" s="86"/>
      <c r="AM2" s="86"/>
      <c r="AN2" s="86"/>
      <c r="AO2" s="86"/>
      <c r="AP2" s="86"/>
    </row>
    <row r="3" spans="1:42" s="1" customFormat="1" ht="13.15" customHeight="1">
      <c r="A3" s="57" t="s">
        <v>666</v>
      </c>
      <c r="B3" s="57" t="s">
        <v>666</v>
      </c>
      <c r="C3" s="57" t="s">
        <v>666</v>
      </c>
      <c r="D3" s="57" t="s">
        <v>667</v>
      </c>
      <c r="E3" s="57" t="s">
        <v>668</v>
      </c>
      <c r="F3" s="57" t="s">
        <v>669</v>
      </c>
      <c r="G3" s="57" t="s">
        <v>670</v>
      </c>
      <c r="H3" s="195">
        <v>3.1</v>
      </c>
      <c r="I3" s="57" t="s">
        <v>671</v>
      </c>
      <c r="J3" s="57">
        <v>1</v>
      </c>
      <c r="K3" s="58">
        <v>2021</v>
      </c>
      <c r="L3" s="57" t="s">
        <v>672</v>
      </c>
      <c r="M3" s="57" t="s">
        <v>673</v>
      </c>
      <c r="N3" s="57" t="s">
        <v>674</v>
      </c>
      <c r="O3" s="57" t="s">
        <v>2466</v>
      </c>
      <c r="P3" s="57" t="s">
        <v>675</v>
      </c>
      <c r="Q3" s="209">
        <v>1989</v>
      </c>
      <c r="R3" s="57">
        <v>5</v>
      </c>
      <c r="S3" s="57"/>
      <c r="T3" s="57"/>
      <c r="U3" s="57"/>
      <c r="V3" s="57"/>
      <c r="W3" s="57"/>
      <c r="X3" s="57">
        <v>0</v>
      </c>
      <c r="Y3" s="58">
        <v>2</v>
      </c>
      <c r="Z3" s="44" t="s">
        <v>676</v>
      </c>
      <c r="AA3" s="45">
        <v>2021</v>
      </c>
      <c r="AB3" s="45">
        <v>7</v>
      </c>
      <c r="AC3" s="45">
        <v>6</v>
      </c>
      <c r="AD3" s="143" t="b">
        <f>IF(ISBLANK(GroupMember[[#This Row],[1. Identifiant interne d’exploitation agricole*]]),"",IF(ISERROR(MATCH(GroupMember[[#This Row],[1. Identifiant interne d’exploitation agricole*]],CertifiedCrop[1. Identifiant interne d’exploitation agricole*],0)),FALSE,TRUE))</f>
        <v>1</v>
      </c>
      <c r="AE3" s="143" t="b">
        <f>IF(ISBLANK(GroupMember[[#This Row],[1. Identifiant interne d’exploitation agricole*]]),"",IF(ISERROR(MATCH(GroupMember[[#This Row],[1. Identifiant interne d’exploitation agricole*]],FarmUnit[1. Identifiant interne d’exploitation agricole*],0)),FALSE,TRUE))</f>
        <v>1</v>
      </c>
      <c r="AF3" s="10" t="str">
        <f t="shared" ref="AF3:AF50" si="0">IFERROR(CONCATENATE(L3," ",M3),"")</f>
        <v>SORE DRISSA</v>
      </c>
      <c r="AG3" s="62" t="str">
        <f>CONCATENATE(AC3,"/",AB3,"/",AA3)</f>
        <v>6/7/2021</v>
      </c>
      <c r="AH3" s="63">
        <f t="shared" ref="AH3:AH66" si="1">COUNTIFS(Z:Z,Z3,AG:AG,AG3)</f>
        <v>5</v>
      </c>
      <c r="AI3" s="64">
        <f t="shared" ref="AI3:AI50" si="2">IF((X3+Y3/12)&lt;0,"",(X3+Y3/12))</f>
        <v>0.16666666666666666</v>
      </c>
    </row>
    <row r="4" spans="1:42" s="1" customFormat="1" ht="13.15" customHeight="1">
      <c r="A4" s="57" t="s">
        <v>677</v>
      </c>
      <c r="B4" s="57" t="s">
        <v>677</v>
      </c>
      <c r="C4" s="57" t="s">
        <v>677</v>
      </c>
      <c r="D4" s="57" t="s">
        <v>667</v>
      </c>
      <c r="E4" s="57" t="s">
        <v>668</v>
      </c>
      <c r="F4" s="57" t="s">
        <v>669</v>
      </c>
      <c r="G4" s="57" t="s">
        <v>670</v>
      </c>
      <c r="H4" s="195">
        <v>3.1160000000000001</v>
      </c>
      <c r="I4" s="57" t="s">
        <v>671</v>
      </c>
      <c r="J4" s="57">
        <v>1</v>
      </c>
      <c r="K4" s="58">
        <v>2021</v>
      </c>
      <c r="L4" s="57" t="s">
        <v>678</v>
      </c>
      <c r="M4" s="57" t="s">
        <v>679</v>
      </c>
      <c r="N4" s="57" t="s">
        <v>680</v>
      </c>
      <c r="O4" s="57" t="s">
        <v>681</v>
      </c>
      <c r="P4" s="57" t="s">
        <v>675</v>
      </c>
      <c r="Q4" s="209">
        <v>1997</v>
      </c>
      <c r="R4" s="57">
        <v>4</v>
      </c>
      <c r="S4" s="57"/>
      <c r="T4" s="57"/>
      <c r="U4" s="57"/>
      <c r="V4" s="57"/>
      <c r="W4" s="57"/>
      <c r="X4" s="57">
        <v>0</v>
      </c>
      <c r="Y4" s="58">
        <v>2</v>
      </c>
      <c r="Z4" s="44" t="s">
        <v>676</v>
      </c>
      <c r="AA4" s="45">
        <v>2021</v>
      </c>
      <c r="AB4" s="45">
        <v>7</v>
      </c>
      <c r="AC4" s="45">
        <v>13</v>
      </c>
      <c r="AD4" s="144" t="b">
        <f>IF(ISBLANK(GroupMember[[#This Row],[1. Identifiant interne d’exploitation agricole*]]),"",IF(ISERROR(MATCH(GroupMember[[#This Row],[1. Identifiant interne d’exploitation agricole*]],CertifiedCrop[1. Identifiant interne d’exploitation agricole*],0)),FALSE,TRUE))</f>
        <v>1</v>
      </c>
      <c r="AE4" s="144" t="b">
        <f>IF(ISBLANK(GroupMember[[#This Row],[1. Identifiant interne d’exploitation agricole*]]),"",IF(ISERROR(MATCH(GroupMember[[#This Row],[1. Identifiant interne d’exploitation agricole*]],FarmUnit[1. Identifiant interne d’exploitation agricole*],0)),FALSE,TRUE))</f>
        <v>1</v>
      </c>
      <c r="AF4" s="10" t="str">
        <f t="shared" si="0"/>
        <v>OUEDRAOGO ARSENE</v>
      </c>
      <c r="AG4" s="65" t="str">
        <f t="shared" ref="AG4:AG50" si="3">CONCATENATE(AC4,"/",AB4,"/",AA4)</f>
        <v>13/7/2021</v>
      </c>
      <c r="AH4" s="66">
        <f t="shared" si="1"/>
        <v>6</v>
      </c>
      <c r="AI4" s="64">
        <f t="shared" si="2"/>
        <v>0.16666666666666666</v>
      </c>
    </row>
    <row r="5" spans="1:42" s="1" customFormat="1" ht="13.15" customHeight="1">
      <c r="A5" s="57" t="s">
        <v>682</v>
      </c>
      <c r="B5" s="57" t="s">
        <v>682</v>
      </c>
      <c r="C5" s="57" t="s">
        <v>682</v>
      </c>
      <c r="D5" s="57" t="s">
        <v>667</v>
      </c>
      <c r="E5" s="57" t="s">
        <v>668</v>
      </c>
      <c r="F5" s="57" t="s">
        <v>669</v>
      </c>
      <c r="G5" s="57" t="s">
        <v>670</v>
      </c>
      <c r="H5" s="195">
        <v>15.41</v>
      </c>
      <c r="I5" s="57" t="s">
        <v>671</v>
      </c>
      <c r="J5" s="57">
        <v>1</v>
      </c>
      <c r="K5" s="58">
        <v>2021</v>
      </c>
      <c r="L5" s="57" t="s">
        <v>683</v>
      </c>
      <c r="M5" s="57" t="s">
        <v>684</v>
      </c>
      <c r="N5" s="57" t="s">
        <v>685</v>
      </c>
      <c r="O5" s="57" t="s">
        <v>1837</v>
      </c>
      <c r="P5" s="57" t="s">
        <v>675</v>
      </c>
      <c r="Q5" s="209">
        <v>1979</v>
      </c>
      <c r="R5" s="57">
        <v>4</v>
      </c>
      <c r="S5" s="57"/>
      <c r="T5" s="57"/>
      <c r="U5" s="57"/>
      <c r="V5" s="57"/>
      <c r="W5" s="57"/>
      <c r="X5" s="57">
        <v>2</v>
      </c>
      <c r="Y5" s="58">
        <v>4</v>
      </c>
      <c r="Z5" s="44" t="s">
        <v>676</v>
      </c>
      <c r="AA5" s="45">
        <v>2021</v>
      </c>
      <c r="AB5" s="45">
        <v>7</v>
      </c>
      <c r="AC5" s="45">
        <v>20</v>
      </c>
      <c r="AD5" s="144" t="b">
        <f>IF(ISBLANK(GroupMember[[#This Row],[1. Identifiant interne d’exploitation agricole*]]),"",IF(ISERROR(MATCH(GroupMember[[#This Row],[1. Identifiant interne d’exploitation agricole*]],CertifiedCrop[1. Identifiant interne d’exploitation agricole*],0)),FALSE,TRUE))</f>
        <v>1</v>
      </c>
      <c r="AE5" s="144" t="b">
        <f>IF(ISBLANK(GroupMember[[#This Row],[1. Identifiant interne d’exploitation agricole*]]),"",IF(ISERROR(MATCH(GroupMember[[#This Row],[1. Identifiant interne d’exploitation agricole*]],FarmUnit[1. Identifiant interne d’exploitation agricole*],0)),FALSE,TRUE))</f>
        <v>1</v>
      </c>
      <c r="AF5" s="10" t="str">
        <f t="shared" si="0"/>
        <v>PABGILGUEM BANGBA MOUSSA</v>
      </c>
      <c r="AG5" s="65" t="str">
        <f t="shared" si="3"/>
        <v>20/7/2021</v>
      </c>
      <c r="AH5" s="66">
        <f t="shared" si="1"/>
        <v>6</v>
      </c>
      <c r="AI5" s="64">
        <f t="shared" si="2"/>
        <v>2.3333333333333335</v>
      </c>
    </row>
    <row r="6" spans="1:42" s="1" customFormat="1" ht="13.15" customHeight="1">
      <c r="A6" s="57" t="s">
        <v>686</v>
      </c>
      <c r="B6" s="57" t="s">
        <v>686</v>
      </c>
      <c r="C6" s="57" t="s">
        <v>686</v>
      </c>
      <c r="D6" s="57" t="s">
        <v>667</v>
      </c>
      <c r="E6" s="57" t="s">
        <v>668</v>
      </c>
      <c r="F6" s="57" t="s">
        <v>669</v>
      </c>
      <c r="G6" s="57" t="s">
        <v>670</v>
      </c>
      <c r="H6" s="195">
        <v>3.7370999999999999</v>
      </c>
      <c r="I6" s="57" t="s">
        <v>671</v>
      </c>
      <c r="J6" s="57">
        <v>1</v>
      </c>
      <c r="K6" s="58">
        <v>2021</v>
      </c>
      <c r="L6" s="57" t="s">
        <v>687</v>
      </c>
      <c r="M6" s="57" t="s">
        <v>688</v>
      </c>
      <c r="N6" s="57" t="s">
        <v>689</v>
      </c>
      <c r="O6" s="57" t="s">
        <v>2467</v>
      </c>
      <c r="P6" s="57" t="s">
        <v>675</v>
      </c>
      <c r="Q6" s="209">
        <v>1962</v>
      </c>
      <c r="R6" s="57">
        <v>9</v>
      </c>
      <c r="S6" s="57"/>
      <c r="T6" s="57"/>
      <c r="U6" s="57"/>
      <c r="V6" s="57"/>
      <c r="W6" s="57"/>
      <c r="X6" s="57">
        <v>0</v>
      </c>
      <c r="Y6" s="58">
        <v>2</v>
      </c>
      <c r="Z6" s="44" t="s">
        <v>676</v>
      </c>
      <c r="AA6" s="45">
        <v>2021</v>
      </c>
      <c r="AB6" s="45">
        <v>7</v>
      </c>
      <c r="AC6" s="45">
        <v>8</v>
      </c>
      <c r="AD6" s="144" t="b">
        <f>IF(ISBLANK(GroupMember[[#This Row],[1. Identifiant interne d’exploitation agricole*]]),"",IF(ISERROR(MATCH(GroupMember[[#This Row],[1. Identifiant interne d’exploitation agricole*]],CertifiedCrop[1. Identifiant interne d’exploitation agricole*],0)),FALSE,TRUE))</f>
        <v>1</v>
      </c>
      <c r="AE6" s="144" t="b">
        <f>IF(ISBLANK(GroupMember[[#This Row],[1. Identifiant interne d’exploitation agricole*]]),"",IF(ISERROR(MATCH(GroupMember[[#This Row],[1. Identifiant interne d’exploitation agricole*]],FarmUnit[1. Identifiant interne d’exploitation agricole*],0)),FALSE,TRUE))</f>
        <v>1</v>
      </c>
      <c r="AF6" s="10" t="str">
        <f t="shared" si="0"/>
        <v>KOUAME KOUAME PHOSTIN</v>
      </c>
      <c r="AG6" s="65" t="str">
        <f t="shared" si="3"/>
        <v>8/7/2021</v>
      </c>
      <c r="AH6" s="66">
        <f t="shared" si="1"/>
        <v>6</v>
      </c>
      <c r="AI6" s="64">
        <f t="shared" si="2"/>
        <v>0.16666666666666666</v>
      </c>
    </row>
    <row r="7" spans="1:42" s="1" customFormat="1" ht="13.15" customHeight="1">
      <c r="A7" s="57" t="s">
        <v>690</v>
      </c>
      <c r="B7" s="57" t="s">
        <v>690</v>
      </c>
      <c r="C7" s="57" t="s">
        <v>690</v>
      </c>
      <c r="D7" s="57" t="s">
        <v>667</v>
      </c>
      <c r="E7" s="57" t="s">
        <v>668</v>
      </c>
      <c r="F7" s="57" t="s">
        <v>669</v>
      </c>
      <c r="G7" s="57" t="s">
        <v>670</v>
      </c>
      <c r="H7" s="195">
        <v>5.0831999999999997</v>
      </c>
      <c r="I7" s="57" t="s">
        <v>671</v>
      </c>
      <c r="J7" s="57">
        <v>1</v>
      </c>
      <c r="K7" s="58">
        <v>2021</v>
      </c>
      <c r="L7" s="57" t="s">
        <v>691</v>
      </c>
      <c r="M7" s="57" t="s">
        <v>692</v>
      </c>
      <c r="N7" s="57" t="s">
        <v>693</v>
      </c>
      <c r="O7" s="57" t="s">
        <v>694</v>
      </c>
      <c r="P7" s="57" t="s">
        <v>675</v>
      </c>
      <c r="Q7" s="209">
        <v>1981</v>
      </c>
      <c r="R7" s="57">
        <v>7</v>
      </c>
      <c r="S7" s="57"/>
      <c r="T7" s="57"/>
      <c r="U7" s="57"/>
      <c r="V7" s="57"/>
      <c r="W7" s="57"/>
      <c r="X7" s="57">
        <v>0</v>
      </c>
      <c r="Y7" s="58">
        <v>2</v>
      </c>
      <c r="Z7" s="44" t="s">
        <v>676</v>
      </c>
      <c r="AA7" s="45">
        <v>2021</v>
      </c>
      <c r="AB7" s="45">
        <v>7</v>
      </c>
      <c r="AC7" s="45">
        <v>15</v>
      </c>
      <c r="AD7" s="144" t="b">
        <f>IF(ISBLANK(GroupMember[[#This Row],[1. Identifiant interne d’exploitation agricole*]]),"",IF(ISERROR(MATCH(GroupMember[[#This Row],[1. Identifiant interne d’exploitation agricole*]],CertifiedCrop[1. Identifiant interne d’exploitation agricole*],0)),FALSE,TRUE))</f>
        <v>1</v>
      </c>
      <c r="AE7" s="144" t="b">
        <f>IF(ISBLANK(GroupMember[[#This Row],[1. Identifiant interne d’exploitation agricole*]]),"",IF(ISERROR(MATCH(GroupMember[[#This Row],[1. Identifiant interne d’exploitation agricole*]],FarmUnit[1. Identifiant interne d’exploitation agricole*],0)),FALSE,TRUE))</f>
        <v>1</v>
      </c>
      <c r="AF7" s="10" t="str">
        <f t="shared" si="0"/>
        <v>SORO NOUBOUTININ</v>
      </c>
      <c r="AG7" s="65" t="str">
        <f t="shared" si="3"/>
        <v>15/7/2021</v>
      </c>
      <c r="AH7" s="66">
        <f t="shared" si="1"/>
        <v>6</v>
      </c>
      <c r="AI7" s="64">
        <f t="shared" si="2"/>
        <v>0.16666666666666666</v>
      </c>
    </row>
    <row r="8" spans="1:42" s="1" customFormat="1" ht="13.15" customHeight="1">
      <c r="A8" s="57" t="s">
        <v>695</v>
      </c>
      <c r="B8" s="57" t="s">
        <v>695</v>
      </c>
      <c r="C8" s="57" t="s">
        <v>695</v>
      </c>
      <c r="D8" s="57" t="s">
        <v>667</v>
      </c>
      <c r="E8" s="57" t="s">
        <v>668</v>
      </c>
      <c r="F8" s="57" t="s">
        <v>669</v>
      </c>
      <c r="G8" s="57" t="s">
        <v>670</v>
      </c>
      <c r="H8" s="195">
        <v>16.86</v>
      </c>
      <c r="I8" s="57" t="s">
        <v>671</v>
      </c>
      <c r="J8" s="57">
        <v>1</v>
      </c>
      <c r="K8" s="58">
        <v>2021</v>
      </c>
      <c r="L8" s="57" t="s">
        <v>696</v>
      </c>
      <c r="M8" s="57" t="s">
        <v>697</v>
      </c>
      <c r="N8" s="57" t="s">
        <v>698</v>
      </c>
      <c r="O8" s="57" t="s">
        <v>699</v>
      </c>
      <c r="P8" s="57" t="s">
        <v>675</v>
      </c>
      <c r="Q8" s="209">
        <v>1959</v>
      </c>
      <c r="R8" s="57">
        <v>5</v>
      </c>
      <c r="S8" s="57"/>
      <c r="T8" s="57"/>
      <c r="U8" s="57"/>
      <c r="V8" s="57"/>
      <c r="W8" s="57"/>
      <c r="X8" s="57">
        <v>3</v>
      </c>
      <c r="Y8" s="58">
        <v>5</v>
      </c>
      <c r="Z8" s="44" t="s">
        <v>676</v>
      </c>
      <c r="AA8" s="45">
        <v>2021</v>
      </c>
      <c r="AB8" s="45">
        <v>7</v>
      </c>
      <c r="AC8" s="45">
        <v>22</v>
      </c>
      <c r="AD8" s="144" t="b">
        <f>IF(ISBLANK(GroupMember[[#This Row],[1. Identifiant interne d’exploitation agricole*]]),"",IF(ISERROR(MATCH(GroupMember[[#This Row],[1. Identifiant interne d’exploitation agricole*]],CertifiedCrop[1. Identifiant interne d’exploitation agricole*],0)),FALSE,TRUE))</f>
        <v>1</v>
      </c>
      <c r="AE8" s="144" t="b">
        <f>IF(ISBLANK(GroupMember[[#This Row],[1. Identifiant interne d’exploitation agricole*]]),"",IF(ISERROR(MATCH(GroupMember[[#This Row],[1. Identifiant interne d’exploitation agricole*]],FarmUnit[1. Identifiant interne d’exploitation agricole*],0)),FALSE,TRUE))</f>
        <v>1</v>
      </c>
      <c r="AF8" s="10" t="str">
        <f t="shared" si="0"/>
        <v>PAGBABUEM IDRISSA</v>
      </c>
      <c r="AG8" s="65" t="str">
        <f t="shared" si="3"/>
        <v>22/7/2021</v>
      </c>
      <c r="AH8" s="66">
        <f t="shared" si="1"/>
        <v>6</v>
      </c>
      <c r="AI8" s="64">
        <f>IF((X8+Y8/12)&lt;0,"",(X8+Y8/12))</f>
        <v>3.4166666666666665</v>
      </c>
    </row>
    <row r="9" spans="1:42" s="1" customFormat="1" ht="13.15" customHeight="1">
      <c r="A9" s="57" t="s">
        <v>700</v>
      </c>
      <c r="B9" s="57" t="s">
        <v>700</v>
      </c>
      <c r="C9" s="57" t="s">
        <v>700</v>
      </c>
      <c r="D9" s="57" t="s">
        <v>667</v>
      </c>
      <c r="E9" s="57" t="s">
        <v>668</v>
      </c>
      <c r="F9" s="57" t="s">
        <v>669</v>
      </c>
      <c r="G9" s="57" t="s">
        <v>670</v>
      </c>
      <c r="H9" s="195">
        <v>2.2861000000000002</v>
      </c>
      <c r="I9" s="57" t="s">
        <v>671</v>
      </c>
      <c r="J9" s="57">
        <v>1</v>
      </c>
      <c r="K9" s="58">
        <v>2021</v>
      </c>
      <c r="L9" s="57" t="s">
        <v>701</v>
      </c>
      <c r="M9" s="57" t="s">
        <v>702</v>
      </c>
      <c r="N9" s="57" t="s">
        <v>703</v>
      </c>
      <c r="O9" s="57" t="s">
        <v>704</v>
      </c>
      <c r="P9" s="57" t="s">
        <v>675</v>
      </c>
      <c r="Q9" s="209">
        <v>1981</v>
      </c>
      <c r="R9" s="57">
        <v>5</v>
      </c>
      <c r="S9" s="57"/>
      <c r="T9" s="57"/>
      <c r="U9" s="57"/>
      <c r="V9" s="57"/>
      <c r="W9" s="57"/>
      <c r="X9" s="57">
        <v>0</v>
      </c>
      <c r="Y9" s="58">
        <v>2</v>
      </c>
      <c r="Z9" s="44" t="s">
        <v>676</v>
      </c>
      <c r="AA9" s="45">
        <v>2021</v>
      </c>
      <c r="AB9" s="45">
        <v>7</v>
      </c>
      <c r="AC9" s="45">
        <v>14</v>
      </c>
      <c r="AD9" s="144" t="b">
        <f>IF(ISBLANK(GroupMember[[#This Row],[1. Identifiant interne d’exploitation agricole*]]),"",IF(ISERROR(MATCH(GroupMember[[#This Row],[1. Identifiant interne d’exploitation agricole*]],CertifiedCrop[1. Identifiant interne d’exploitation agricole*],0)),FALSE,TRUE))</f>
        <v>1</v>
      </c>
      <c r="AE9" s="144" t="b">
        <f>IF(ISBLANK(GroupMember[[#This Row],[1. Identifiant interne d’exploitation agricole*]]),"",IF(ISERROR(MATCH(GroupMember[[#This Row],[1. Identifiant interne d’exploitation agricole*]],FarmUnit[1. Identifiant interne d’exploitation agricole*],0)),FALSE,TRUE))</f>
        <v>1</v>
      </c>
      <c r="AF9" s="10" t="str">
        <f t="shared" si="0"/>
        <v>GUIBLA  LAURENT</v>
      </c>
      <c r="AG9" s="65" t="str">
        <f t="shared" si="3"/>
        <v>14/7/2021</v>
      </c>
      <c r="AH9" s="66">
        <f t="shared" si="1"/>
        <v>5</v>
      </c>
      <c r="AI9" s="64">
        <f>IF((X9+Y9/12)&lt;0,"",(X9+Y9/12))</f>
        <v>0.16666666666666666</v>
      </c>
    </row>
    <row r="10" spans="1:42" s="1" customFormat="1" ht="13.15" customHeight="1">
      <c r="A10" s="57" t="s">
        <v>705</v>
      </c>
      <c r="B10" s="57" t="s">
        <v>705</v>
      </c>
      <c r="C10" s="57" t="s">
        <v>705</v>
      </c>
      <c r="D10" s="57" t="s">
        <v>667</v>
      </c>
      <c r="E10" s="57" t="s">
        <v>668</v>
      </c>
      <c r="F10" s="57" t="s">
        <v>669</v>
      </c>
      <c r="G10" s="57" t="s">
        <v>670</v>
      </c>
      <c r="H10" s="195">
        <v>3.6172</v>
      </c>
      <c r="I10" s="57" t="s">
        <v>671</v>
      </c>
      <c r="J10" s="57">
        <v>1</v>
      </c>
      <c r="K10" s="58">
        <v>2021</v>
      </c>
      <c r="L10" s="57" t="s">
        <v>706</v>
      </c>
      <c r="M10" s="57" t="s">
        <v>707</v>
      </c>
      <c r="N10" s="57" t="s">
        <v>708</v>
      </c>
      <c r="O10" s="57" t="s">
        <v>709</v>
      </c>
      <c r="P10" s="57" t="s">
        <v>675</v>
      </c>
      <c r="Q10" s="209">
        <v>1970</v>
      </c>
      <c r="R10" s="57">
        <v>8</v>
      </c>
      <c r="S10" s="57"/>
      <c r="T10" s="57"/>
      <c r="U10" s="57"/>
      <c r="V10" s="57"/>
      <c r="W10" s="57"/>
      <c r="X10" s="57">
        <v>0</v>
      </c>
      <c r="Y10" s="58">
        <v>2</v>
      </c>
      <c r="Z10" s="44" t="s">
        <v>676</v>
      </c>
      <c r="AA10" s="45">
        <v>2021</v>
      </c>
      <c r="AB10" s="45">
        <v>7</v>
      </c>
      <c r="AC10" s="45">
        <v>23</v>
      </c>
      <c r="AD10" s="144" t="b">
        <f>IF(ISBLANK(GroupMember[[#This Row],[1. Identifiant interne d’exploitation agricole*]]),"",IF(ISERROR(MATCH(GroupMember[[#This Row],[1. Identifiant interne d’exploitation agricole*]],CertifiedCrop[1. Identifiant interne d’exploitation agricole*],0)),FALSE,TRUE))</f>
        <v>1</v>
      </c>
      <c r="AE10" s="144" t="b">
        <f>IF(ISBLANK(GroupMember[[#This Row],[1. Identifiant interne d’exploitation agricole*]]),"",IF(ISERROR(MATCH(GroupMember[[#This Row],[1. Identifiant interne d’exploitation agricole*]],FarmUnit[1. Identifiant interne d’exploitation agricole*],0)),FALSE,TRUE))</f>
        <v>1</v>
      </c>
      <c r="AF10" s="10" t="str">
        <f t="shared" si="0"/>
        <v>TOGBA  PIERRE</v>
      </c>
      <c r="AG10" s="65" t="str">
        <f t="shared" si="3"/>
        <v>23/7/2021</v>
      </c>
      <c r="AH10" s="66">
        <f t="shared" si="1"/>
        <v>5</v>
      </c>
      <c r="AI10" s="64">
        <f t="shared" si="2"/>
        <v>0.16666666666666666</v>
      </c>
    </row>
    <row r="11" spans="1:42" s="1" customFormat="1" ht="13.15" customHeight="1">
      <c r="A11" s="57" t="s">
        <v>710</v>
      </c>
      <c r="B11" s="57" t="s">
        <v>710</v>
      </c>
      <c r="C11" s="57" t="s">
        <v>710</v>
      </c>
      <c r="D11" s="57" t="s">
        <v>667</v>
      </c>
      <c r="E11" s="57" t="s">
        <v>668</v>
      </c>
      <c r="F11" s="57" t="s">
        <v>669</v>
      </c>
      <c r="G11" s="57" t="s">
        <v>670</v>
      </c>
      <c r="H11" s="195">
        <v>2.5907</v>
      </c>
      <c r="I11" s="57" t="s">
        <v>671</v>
      </c>
      <c r="J11" s="57">
        <v>1</v>
      </c>
      <c r="K11" s="58">
        <v>2021</v>
      </c>
      <c r="L11" s="57" t="s">
        <v>711</v>
      </c>
      <c r="M11" s="57" t="s">
        <v>712</v>
      </c>
      <c r="N11" s="57" t="s">
        <v>713</v>
      </c>
      <c r="O11" s="57" t="s">
        <v>714</v>
      </c>
      <c r="P11" s="57" t="s">
        <v>675</v>
      </c>
      <c r="Q11" s="209">
        <v>1978</v>
      </c>
      <c r="R11" s="57">
        <v>4</v>
      </c>
      <c r="S11" s="57"/>
      <c r="T11" s="57"/>
      <c r="U11" s="57"/>
      <c r="V11" s="57"/>
      <c r="W11" s="57"/>
      <c r="X11" s="57">
        <v>0</v>
      </c>
      <c r="Y11" s="58">
        <v>2</v>
      </c>
      <c r="Z11" s="44" t="s">
        <v>676</v>
      </c>
      <c r="AA11" s="45">
        <v>2021</v>
      </c>
      <c r="AB11" s="45">
        <v>7</v>
      </c>
      <c r="AC11" s="45">
        <v>16</v>
      </c>
      <c r="AD11" s="144" t="b">
        <f>IF(ISBLANK(GroupMember[[#This Row],[1. Identifiant interne d’exploitation agricole*]]),"",IF(ISERROR(MATCH(GroupMember[[#This Row],[1. Identifiant interne d’exploitation agricole*]],CertifiedCrop[1. Identifiant interne d’exploitation agricole*],0)),FALSE,TRUE))</f>
        <v>1</v>
      </c>
      <c r="AE11" s="144" t="b">
        <f>IF(ISBLANK(GroupMember[[#This Row],[1. Identifiant interne d’exploitation agricole*]]),"",IF(ISERROR(MATCH(GroupMember[[#This Row],[1. Identifiant interne d’exploitation agricole*]],FarmUnit[1. Identifiant interne d’exploitation agricole*],0)),FALSE,TRUE))</f>
        <v>1</v>
      </c>
      <c r="AF11" s="10" t="str">
        <f t="shared" si="0"/>
        <v>TOKPA GONDOUE  ALFRED</v>
      </c>
      <c r="AG11" s="65" t="str">
        <f t="shared" si="3"/>
        <v>16/7/2021</v>
      </c>
      <c r="AH11" s="66">
        <f t="shared" si="1"/>
        <v>6</v>
      </c>
      <c r="AI11" s="64">
        <f t="shared" si="2"/>
        <v>0.16666666666666666</v>
      </c>
    </row>
    <row r="12" spans="1:42" s="1" customFormat="1" ht="13.15" customHeight="1">
      <c r="A12" s="57" t="s">
        <v>715</v>
      </c>
      <c r="B12" s="57" t="s">
        <v>715</v>
      </c>
      <c r="C12" s="57" t="s">
        <v>715</v>
      </c>
      <c r="D12" s="57" t="s">
        <v>667</v>
      </c>
      <c r="E12" s="57" t="s">
        <v>668</v>
      </c>
      <c r="F12" s="57" t="s">
        <v>669</v>
      </c>
      <c r="G12" s="57" t="s">
        <v>670</v>
      </c>
      <c r="H12" s="195">
        <v>2.2591000000000001</v>
      </c>
      <c r="I12" s="57" t="s">
        <v>671</v>
      </c>
      <c r="J12" s="57">
        <v>1</v>
      </c>
      <c r="K12" s="58">
        <v>2021</v>
      </c>
      <c r="L12" s="57" t="s">
        <v>716</v>
      </c>
      <c r="M12" s="57" t="s">
        <v>717</v>
      </c>
      <c r="N12" s="57" t="s">
        <v>718</v>
      </c>
      <c r="O12" s="57" t="s">
        <v>719</v>
      </c>
      <c r="P12" s="57" t="s">
        <v>720</v>
      </c>
      <c r="Q12" s="209">
        <v>1949</v>
      </c>
      <c r="R12" s="57">
        <v>5</v>
      </c>
      <c r="S12" s="57"/>
      <c r="T12" s="57"/>
      <c r="U12" s="57"/>
      <c r="V12" s="57"/>
      <c r="W12" s="57"/>
      <c r="X12" s="57">
        <v>0</v>
      </c>
      <c r="Y12" s="58">
        <v>2</v>
      </c>
      <c r="Z12" s="44" t="s">
        <v>676</v>
      </c>
      <c r="AA12" s="45">
        <v>2021</v>
      </c>
      <c r="AB12" s="45">
        <v>7</v>
      </c>
      <c r="AC12" s="45">
        <v>23</v>
      </c>
      <c r="AD12" s="144" t="b">
        <f>IF(ISBLANK(GroupMember[[#This Row],[1. Identifiant interne d’exploitation agricole*]]),"",IF(ISERROR(MATCH(GroupMember[[#This Row],[1. Identifiant interne d’exploitation agricole*]],CertifiedCrop[1. Identifiant interne d’exploitation agricole*],0)),FALSE,TRUE))</f>
        <v>1</v>
      </c>
      <c r="AE12" s="144" t="b">
        <f>IF(ISBLANK(GroupMember[[#This Row],[1. Identifiant interne d’exploitation agricole*]]),"",IF(ISERROR(MATCH(GroupMember[[#This Row],[1. Identifiant interne d’exploitation agricole*]],FarmUnit[1. Identifiant interne d’exploitation agricole*],0)),FALSE,TRUE))</f>
        <v>1</v>
      </c>
      <c r="AF12" s="10" t="str">
        <f t="shared" si="0"/>
        <v>GUAIHOU MADELEINE</v>
      </c>
      <c r="AG12" s="65" t="str">
        <f t="shared" si="3"/>
        <v>23/7/2021</v>
      </c>
      <c r="AH12" s="66">
        <f t="shared" si="1"/>
        <v>5</v>
      </c>
      <c r="AI12" s="64">
        <f t="shared" si="2"/>
        <v>0.16666666666666666</v>
      </c>
    </row>
    <row r="13" spans="1:42" s="1" customFormat="1" ht="13.15" customHeight="1">
      <c r="A13" s="57" t="s">
        <v>721</v>
      </c>
      <c r="B13" s="57" t="s">
        <v>721</v>
      </c>
      <c r="C13" s="57" t="s">
        <v>721</v>
      </c>
      <c r="D13" s="57" t="s">
        <v>667</v>
      </c>
      <c r="E13" s="57" t="s">
        <v>668</v>
      </c>
      <c r="F13" s="57" t="s">
        <v>669</v>
      </c>
      <c r="G13" s="57" t="s">
        <v>670</v>
      </c>
      <c r="H13" s="195">
        <v>1.6753</v>
      </c>
      <c r="I13" s="57" t="s">
        <v>671</v>
      </c>
      <c r="J13" s="57">
        <v>1</v>
      </c>
      <c r="K13" s="58">
        <v>2021</v>
      </c>
      <c r="L13" s="57" t="s">
        <v>722</v>
      </c>
      <c r="M13" s="57" t="s">
        <v>723</v>
      </c>
      <c r="N13" s="57" t="s">
        <v>724</v>
      </c>
      <c r="O13" s="57" t="s">
        <v>2468</v>
      </c>
      <c r="P13" s="57" t="s">
        <v>720</v>
      </c>
      <c r="Q13" s="209">
        <v>1971</v>
      </c>
      <c r="R13" s="57">
        <v>3</v>
      </c>
      <c r="S13" s="57"/>
      <c r="T13" s="57"/>
      <c r="U13" s="57"/>
      <c r="V13" s="57"/>
      <c r="W13" s="57"/>
      <c r="X13" s="57">
        <v>0</v>
      </c>
      <c r="Y13" s="58">
        <v>2</v>
      </c>
      <c r="Z13" s="44" t="s">
        <v>676</v>
      </c>
      <c r="AA13" s="45">
        <v>2021</v>
      </c>
      <c r="AB13" s="45">
        <v>7</v>
      </c>
      <c r="AC13" s="45">
        <v>15</v>
      </c>
      <c r="AD13" s="144" t="b">
        <f>IF(ISBLANK(GroupMember[[#This Row],[1. Identifiant interne d’exploitation agricole*]]),"",IF(ISERROR(MATCH(GroupMember[[#This Row],[1. Identifiant interne d’exploitation agricole*]],CertifiedCrop[1. Identifiant interne d’exploitation agricole*],0)),FALSE,TRUE))</f>
        <v>1</v>
      </c>
      <c r="AE13" s="144" t="b">
        <f>IF(ISBLANK(GroupMember[[#This Row],[1. Identifiant interne d’exploitation agricole*]]),"",IF(ISERROR(MATCH(GroupMember[[#This Row],[1. Identifiant interne d’exploitation agricole*]],FarmUnit[1. Identifiant interne d’exploitation agricole*],0)),FALSE,TRUE))</f>
        <v>1</v>
      </c>
      <c r="AF13" s="10" t="str">
        <f t="shared" si="0"/>
        <v>BAH MALGUERITE</v>
      </c>
      <c r="AG13" s="65" t="str">
        <f t="shared" si="3"/>
        <v>15/7/2021</v>
      </c>
      <c r="AH13" s="66">
        <f t="shared" si="1"/>
        <v>6</v>
      </c>
      <c r="AI13" s="64">
        <f t="shared" si="2"/>
        <v>0.16666666666666666</v>
      </c>
    </row>
    <row r="14" spans="1:42" s="1" customFormat="1" ht="13.15" customHeight="1">
      <c r="A14" s="57" t="s">
        <v>725</v>
      </c>
      <c r="B14" s="57" t="s">
        <v>725</v>
      </c>
      <c r="C14" s="57" t="s">
        <v>725</v>
      </c>
      <c r="D14" s="57" t="s">
        <v>667</v>
      </c>
      <c r="E14" s="57" t="s">
        <v>668</v>
      </c>
      <c r="F14" s="57" t="s">
        <v>669</v>
      </c>
      <c r="G14" s="57" t="s">
        <v>670</v>
      </c>
      <c r="H14" s="195">
        <v>9.4649000000000001</v>
      </c>
      <c r="I14" s="57" t="s">
        <v>671</v>
      </c>
      <c r="J14" s="57">
        <v>1</v>
      </c>
      <c r="K14" s="58">
        <v>2021</v>
      </c>
      <c r="L14" s="57" t="s">
        <v>726</v>
      </c>
      <c r="M14" s="57" t="s">
        <v>727</v>
      </c>
      <c r="N14" s="57" t="s">
        <v>728</v>
      </c>
      <c r="O14" s="57" t="s">
        <v>729</v>
      </c>
      <c r="P14" s="57" t="s">
        <v>675</v>
      </c>
      <c r="Q14" s="209">
        <v>1982</v>
      </c>
      <c r="R14" s="57">
        <v>5</v>
      </c>
      <c r="S14" s="57"/>
      <c r="T14" s="57"/>
      <c r="U14" s="57"/>
      <c r="V14" s="57"/>
      <c r="W14" s="57"/>
      <c r="X14" s="57">
        <v>2</v>
      </c>
      <c r="Y14" s="58">
        <v>4</v>
      </c>
      <c r="Z14" s="44" t="s">
        <v>676</v>
      </c>
      <c r="AA14" s="45">
        <v>2021</v>
      </c>
      <c r="AB14" s="45">
        <v>8</v>
      </c>
      <c r="AC14" s="45">
        <v>10</v>
      </c>
      <c r="AD14" s="144" t="b">
        <f>IF(ISBLANK(GroupMember[[#This Row],[1. Identifiant interne d’exploitation agricole*]]),"",IF(ISERROR(MATCH(GroupMember[[#This Row],[1. Identifiant interne d’exploitation agricole*]],CertifiedCrop[1. Identifiant interne d’exploitation agricole*],0)),FALSE,TRUE))</f>
        <v>1</v>
      </c>
      <c r="AE14" s="144" t="b">
        <f>IF(ISBLANK(GroupMember[[#This Row],[1. Identifiant interne d’exploitation agricole*]]),"",IF(ISERROR(MATCH(GroupMember[[#This Row],[1. Identifiant interne d’exploitation agricole*]],FarmUnit[1. Identifiant interne d’exploitation agricole*],0)),FALSE,TRUE))</f>
        <v>1</v>
      </c>
      <c r="AF14" s="10" t="str">
        <f t="shared" si="0"/>
        <v>KABRE SIKIETA EMIL</v>
      </c>
      <c r="AG14" s="65" t="str">
        <f t="shared" si="3"/>
        <v>10/8/2021</v>
      </c>
      <c r="AH14" s="66">
        <f t="shared" si="1"/>
        <v>4</v>
      </c>
      <c r="AI14" s="64">
        <f t="shared" si="2"/>
        <v>2.3333333333333335</v>
      </c>
    </row>
    <row r="15" spans="1:42" s="1" customFormat="1" ht="13.15" customHeight="1">
      <c r="A15" s="57" t="s">
        <v>730</v>
      </c>
      <c r="B15" s="57" t="s">
        <v>730</v>
      </c>
      <c r="C15" s="57" t="s">
        <v>730</v>
      </c>
      <c r="D15" s="57" t="s">
        <v>667</v>
      </c>
      <c r="E15" s="57" t="s">
        <v>668</v>
      </c>
      <c r="F15" s="57" t="s">
        <v>669</v>
      </c>
      <c r="G15" s="57" t="s">
        <v>670</v>
      </c>
      <c r="H15" s="195">
        <v>7.8327</v>
      </c>
      <c r="I15" s="57" t="s">
        <v>671</v>
      </c>
      <c r="J15" s="57">
        <v>1</v>
      </c>
      <c r="K15" s="58">
        <v>2021</v>
      </c>
      <c r="L15" s="57" t="s">
        <v>731</v>
      </c>
      <c r="M15" s="57" t="s">
        <v>732</v>
      </c>
      <c r="N15" s="57" t="s">
        <v>733</v>
      </c>
      <c r="O15" s="57" t="s">
        <v>2469</v>
      </c>
      <c r="P15" s="57" t="s">
        <v>675</v>
      </c>
      <c r="Q15" s="209">
        <v>1972</v>
      </c>
      <c r="R15" s="57">
        <v>6</v>
      </c>
      <c r="S15" s="57"/>
      <c r="T15" s="46"/>
      <c r="U15" s="57"/>
      <c r="V15" s="57"/>
      <c r="W15" s="57"/>
      <c r="X15" s="57">
        <v>3</v>
      </c>
      <c r="Y15" s="58">
        <v>5</v>
      </c>
      <c r="Z15" s="44" t="s">
        <v>676</v>
      </c>
      <c r="AA15" s="45">
        <v>2021</v>
      </c>
      <c r="AB15" s="45">
        <v>7</v>
      </c>
      <c r="AC15" s="45">
        <v>27</v>
      </c>
      <c r="AD15" s="144" t="b">
        <f>IF(ISBLANK(GroupMember[[#This Row],[1. Identifiant interne d’exploitation agricole*]]),"",IF(ISERROR(MATCH(GroupMember[[#This Row],[1. Identifiant interne d’exploitation agricole*]],CertifiedCrop[1. Identifiant interne d’exploitation agricole*],0)),FALSE,TRUE))</f>
        <v>1</v>
      </c>
      <c r="AE15" s="144" t="b">
        <f>IF(ISBLANK(GroupMember[[#This Row],[1. Identifiant interne d’exploitation agricole*]]),"",IF(ISERROR(MATCH(GroupMember[[#This Row],[1. Identifiant interne d’exploitation agricole*]],FarmUnit[1. Identifiant interne d’exploitation agricole*],0)),FALSE,TRUE))</f>
        <v>1</v>
      </c>
      <c r="AF15" s="10" t="str">
        <f t="shared" si="0"/>
        <v>KABRE OUIGOU  MICHEL</v>
      </c>
      <c r="AG15" s="65" t="str">
        <f t="shared" si="3"/>
        <v>27/7/2021</v>
      </c>
      <c r="AH15" s="66">
        <f t="shared" si="1"/>
        <v>6</v>
      </c>
      <c r="AI15" s="64">
        <f t="shared" si="2"/>
        <v>3.4166666666666665</v>
      </c>
    </row>
    <row r="16" spans="1:42" s="1" customFormat="1" ht="13.15" customHeight="1">
      <c r="A16" s="57" t="s">
        <v>734</v>
      </c>
      <c r="B16" s="57" t="s">
        <v>734</v>
      </c>
      <c r="C16" s="57" t="s">
        <v>734</v>
      </c>
      <c r="D16" s="57" t="s">
        <v>667</v>
      </c>
      <c r="E16" s="57" t="s">
        <v>668</v>
      </c>
      <c r="F16" s="57" t="s">
        <v>669</v>
      </c>
      <c r="G16" s="57" t="s">
        <v>670</v>
      </c>
      <c r="H16" s="195">
        <v>4.9851000000000001</v>
      </c>
      <c r="I16" s="57" t="s">
        <v>671</v>
      </c>
      <c r="J16" s="57">
        <v>1</v>
      </c>
      <c r="K16" s="58">
        <v>2021</v>
      </c>
      <c r="L16" s="57" t="s">
        <v>735</v>
      </c>
      <c r="M16" s="57" t="s">
        <v>736</v>
      </c>
      <c r="N16" s="57" t="s">
        <v>737</v>
      </c>
      <c r="O16" s="57" t="s">
        <v>738</v>
      </c>
      <c r="P16" s="57" t="s">
        <v>675</v>
      </c>
      <c r="Q16" s="209">
        <v>1971</v>
      </c>
      <c r="R16" s="57">
        <v>5</v>
      </c>
      <c r="S16" s="57"/>
      <c r="T16" s="46"/>
      <c r="U16" s="57"/>
      <c r="V16" s="57"/>
      <c r="W16" s="57"/>
      <c r="X16" s="57">
        <v>0</v>
      </c>
      <c r="Y16" s="58">
        <v>2</v>
      </c>
      <c r="Z16" s="44" t="s">
        <v>676</v>
      </c>
      <c r="AA16" s="45">
        <v>2021</v>
      </c>
      <c r="AB16" s="45">
        <v>7</v>
      </c>
      <c r="AC16" s="45">
        <v>19</v>
      </c>
      <c r="AD16" s="144" t="b">
        <f>IF(ISBLANK(GroupMember[[#This Row],[1. Identifiant interne d’exploitation agricole*]]),"",IF(ISERROR(MATCH(GroupMember[[#This Row],[1. Identifiant interne d’exploitation agricole*]],CertifiedCrop[1. Identifiant interne d’exploitation agricole*],0)),FALSE,TRUE))</f>
        <v>1</v>
      </c>
      <c r="AE16" s="144" t="b">
        <f>IF(ISBLANK(GroupMember[[#This Row],[1. Identifiant interne d’exploitation agricole*]]),"",IF(ISERROR(MATCH(GroupMember[[#This Row],[1. Identifiant interne d’exploitation agricole*]],FarmUnit[1. Identifiant interne d’exploitation agricole*],0)),FALSE,TRUE))</f>
        <v>1</v>
      </c>
      <c r="AF16" s="10" t="str">
        <f t="shared" si="0"/>
        <v>KINDO MOUSTAPHA</v>
      </c>
      <c r="AG16" s="65" t="str">
        <f t="shared" si="3"/>
        <v>19/7/2021</v>
      </c>
      <c r="AH16" s="66">
        <f t="shared" si="1"/>
        <v>6</v>
      </c>
      <c r="AI16" s="64">
        <f t="shared" si="2"/>
        <v>0.16666666666666666</v>
      </c>
    </row>
    <row r="17" spans="1:35" s="1" customFormat="1" ht="13.15" customHeight="1">
      <c r="A17" s="57" t="s">
        <v>739</v>
      </c>
      <c r="B17" s="57" t="s">
        <v>739</v>
      </c>
      <c r="C17" s="57" t="s">
        <v>739</v>
      </c>
      <c r="D17" s="57" t="s">
        <v>667</v>
      </c>
      <c r="E17" s="57" t="s">
        <v>668</v>
      </c>
      <c r="F17" s="57" t="s">
        <v>669</v>
      </c>
      <c r="G17" s="57" t="s">
        <v>670</v>
      </c>
      <c r="H17" s="195">
        <v>2.7168000000000001</v>
      </c>
      <c r="I17" s="57" t="s">
        <v>671</v>
      </c>
      <c r="J17" s="57">
        <v>1</v>
      </c>
      <c r="K17" s="58">
        <v>2021</v>
      </c>
      <c r="L17" s="57" t="s">
        <v>740</v>
      </c>
      <c r="M17" s="57" t="s">
        <v>741</v>
      </c>
      <c r="N17" s="57" t="s">
        <v>742</v>
      </c>
      <c r="O17" s="57" t="s">
        <v>743</v>
      </c>
      <c r="P17" s="57" t="s">
        <v>675</v>
      </c>
      <c r="Q17" s="209">
        <v>1985</v>
      </c>
      <c r="R17" s="57">
        <v>5</v>
      </c>
      <c r="S17" s="57"/>
      <c r="T17" s="46"/>
      <c r="U17" s="57"/>
      <c r="V17" s="57"/>
      <c r="W17" s="57"/>
      <c r="X17" s="57">
        <v>0</v>
      </c>
      <c r="Y17" s="58">
        <v>2</v>
      </c>
      <c r="Z17" s="44" t="s">
        <v>676</v>
      </c>
      <c r="AA17" s="45">
        <v>2021</v>
      </c>
      <c r="AB17" s="45">
        <v>8</v>
      </c>
      <c r="AC17" s="45">
        <v>9</v>
      </c>
      <c r="AD17" s="144" t="b">
        <f>IF(ISBLANK(GroupMember[[#This Row],[1. Identifiant interne d’exploitation agricole*]]),"",IF(ISERROR(MATCH(GroupMember[[#This Row],[1. Identifiant interne d’exploitation agricole*]],CertifiedCrop[1. Identifiant interne d’exploitation agricole*],0)),FALSE,TRUE))</f>
        <v>1</v>
      </c>
      <c r="AE17" s="144" t="b">
        <f>IF(ISBLANK(GroupMember[[#This Row],[1. Identifiant interne d’exploitation agricole*]]),"",IF(ISERROR(MATCH(GroupMember[[#This Row],[1. Identifiant interne d’exploitation agricole*]],FarmUnit[1. Identifiant interne d’exploitation agricole*],0)),FALSE,TRUE))</f>
        <v>1</v>
      </c>
      <c r="AF17" s="10" t="str">
        <f t="shared" si="0"/>
        <v>KINDO  ROULIATOU</v>
      </c>
      <c r="AG17" s="65" t="str">
        <f t="shared" si="3"/>
        <v>9/8/2021</v>
      </c>
      <c r="AH17" s="66">
        <f t="shared" si="1"/>
        <v>4</v>
      </c>
      <c r="AI17" s="64">
        <f t="shared" si="2"/>
        <v>0.16666666666666666</v>
      </c>
    </row>
    <row r="18" spans="1:35" s="1" customFormat="1" ht="13.15" customHeight="1">
      <c r="A18" s="57" t="s">
        <v>744</v>
      </c>
      <c r="B18" s="57" t="s">
        <v>744</v>
      </c>
      <c r="C18" s="57" t="s">
        <v>744</v>
      </c>
      <c r="D18" s="57" t="s">
        <v>667</v>
      </c>
      <c r="E18" s="57" t="s">
        <v>668</v>
      </c>
      <c r="F18" s="57" t="s">
        <v>669</v>
      </c>
      <c r="G18" s="57" t="s">
        <v>670</v>
      </c>
      <c r="H18" s="195">
        <v>3.5081000000000002</v>
      </c>
      <c r="I18" s="57" t="s">
        <v>671</v>
      </c>
      <c r="J18" s="57">
        <v>1</v>
      </c>
      <c r="K18" s="58">
        <v>2021</v>
      </c>
      <c r="L18" s="57" t="s">
        <v>740</v>
      </c>
      <c r="M18" s="57" t="s">
        <v>745</v>
      </c>
      <c r="N18" s="57" t="s">
        <v>746</v>
      </c>
      <c r="O18" s="57" t="s">
        <v>747</v>
      </c>
      <c r="P18" s="57" t="s">
        <v>720</v>
      </c>
      <c r="Q18" s="209">
        <v>1980</v>
      </c>
      <c r="R18" s="57">
        <v>5</v>
      </c>
      <c r="S18" s="57"/>
      <c r="T18" s="46"/>
      <c r="U18" s="57"/>
      <c r="V18" s="57"/>
      <c r="W18" s="57"/>
      <c r="X18" s="57">
        <v>0</v>
      </c>
      <c r="Y18" s="58">
        <v>2</v>
      </c>
      <c r="Z18" s="44" t="s">
        <v>676</v>
      </c>
      <c r="AA18" s="45">
        <v>2021</v>
      </c>
      <c r="AB18" s="45">
        <v>7</v>
      </c>
      <c r="AC18" s="45">
        <v>13</v>
      </c>
      <c r="AD18" s="144" t="b">
        <f>IF(ISBLANK(GroupMember[[#This Row],[1. Identifiant interne d’exploitation agricole*]]),"",IF(ISERROR(MATCH(GroupMember[[#This Row],[1. Identifiant interne d’exploitation agricole*]],CertifiedCrop[1. Identifiant interne d’exploitation agricole*],0)),FALSE,TRUE))</f>
        <v>1</v>
      </c>
      <c r="AE18" s="144" t="b">
        <f>IF(ISBLANK(GroupMember[[#This Row],[1. Identifiant interne d’exploitation agricole*]]),"",IF(ISERROR(MATCH(GroupMember[[#This Row],[1. Identifiant interne d’exploitation agricole*]],FarmUnit[1. Identifiant interne d’exploitation agricole*],0)),FALSE,TRUE))</f>
        <v>1</v>
      </c>
      <c r="AF18" s="10" t="str">
        <f t="shared" si="0"/>
        <v>KINDO  RAMATA</v>
      </c>
      <c r="AG18" s="65" t="str">
        <f t="shared" si="3"/>
        <v>13/7/2021</v>
      </c>
      <c r="AH18" s="66">
        <f t="shared" si="1"/>
        <v>6</v>
      </c>
      <c r="AI18" s="64">
        <f t="shared" si="2"/>
        <v>0.16666666666666666</v>
      </c>
    </row>
    <row r="19" spans="1:35" s="1" customFormat="1" ht="13.15" customHeight="1">
      <c r="A19" s="57" t="s">
        <v>748</v>
      </c>
      <c r="B19" s="57" t="s">
        <v>748</v>
      </c>
      <c r="C19" s="57" t="s">
        <v>748</v>
      </c>
      <c r="D19" s="57" t="s">
        <v>667</v>
      </c>
      <c r="E19" s="57" t="s">
        <v>668</v>
      </c>
      <c r="F19" s="57" t="s">
        <v>669</v>
      </c>
      <c r="G19" s="57" t="s">
        <v>670</v>
      </c>
      <c r="H19" s="195">
        <v>3.8424999999999998</v>
      </c>
      <c r="I19" s="57" t="s">
        <v>671</v>
      </c>
      <c r="J19" s="57">
        <v>1</v>
      </c>
      <c r="K19" s="58">
        <v>2021</v>
      </c>
      <c r="L19" s="57" t="s">
        <v>749</v>
      </c>
      <c r="M19" s="57" t="s">
        <v>684</v>
      </c>
      <c r="N19" s="57" t="s">
        <v>750</v>
      </c>
      <c r="O19" s="57" t="s">
        <v>2470</v>
      </c>
      <c r="P19" s="57" t="s">
        <v>675</v>
      </c>
      <c r="Q19" s="209">
        <v>1991</v>
      </c>
      <c r="R19" s="57">
        <v>7</v>
      </c>
      <c r="S19" s="57"/>
      <c r="T19" s="59"/>
      <c r="U19" s="57"/>
      <c r="V19" s="57"/>
      <c r="W19" s="57"/>
      <c r="X19" s="57">
        <v>0</v>
      </c>
      <c r="Y19" s="58">
        <v>2</v>
      </c>
      <c r="Z19" s="44" t="s">
        <v>676</v>
      </c>
      <c r="AA19" s="45">
        <v>2021</v>
      </c>
      <c r="AB19" s="45">
        <v>8</v>
      </c>
      <c r="AC19" s="45">
        <v>9</v>
      </c>
      <c r="AD19" s="144" t="b">
        <f>IF(ISBLANK(GroupMember[[#This Row],[1. Identifiant interne d’exploitation agricole*]]),"",IF(ISERROR(MATCH(GroupMember[[#This Row],[1. Identifiant interne d’exploitation agricole*]],CertifiedCrop[1. Identifiant interne d’exploitation agricole*],0)),FALSE,TRUE))</f>
        <v>1</v>
      </c>
      <c r="AE19" s="144" t="b">
        <f>IF(ISBLANK(GroupMember[[#This Row],[1. Identifiant interne d’exploitation agricole*]]),"",IF(ISERROR(MATCH(GroupMember[[#This Row],[1. Identifiant interne d’exploitation agricole*]],FarmUnit[1. Identifiant interne d’exploitation agricole*],0)),FALSE,TRUE))</f>
        <v>1</v>
      </c>
      <c r="AF19" s="10" t="str">
        <f t="shared" si="0"/>
        <v>SAWADOGO  MOUSSA</v>
      </c>
      <c r="AG19" s="65" t="str">
        <f t="shared" si="3"/>
        <v>9/8/2021</v>
      </c>
      <c r="AH19" s="66">
        <f t="shared" si="1"/>
        <v>4</v>
      </c>
      <c r="AI19" s="64">
        <f t="shared" si="2"/>
        <v>0.16666666666666666</v>
      </c>
    </row>
    <row r="20" spans="1:35" s="1" customFormat="1" ht="13.15" customHeight="1">
      <c r="A20" s="57" t="s">
        <v>751</v>
      </c>
      <c r="B20" s="57" t="s">
        <v>751</v>
      </c>
      <c r="C20" s="57" t="s">
        <v>751</v>
      </c>
      <c r="D20" s="57" t="s">
        <v>667</v>
      </c>
      <c r="E20" s="57" t="s">
        <v>668</v>
      </c>
      <c r="F20" s="57" t="s">
        <v>669</v>
      </c>
      <c r="G20" s="57" t="s">
        <v>670</v>
      </c>
      <c r="H20" s="195">
        <v>3.2803</v>
      </c>
      <c r="I20" s="57" t="s">
        <v>671</v>
      </c>
      <c r="J20" s="57">
        <v>1</v>
      </c>
      <c r="K20" s="58">
        <v>2021</v>
      </c>
      <c r="L20" s="57" t="s">
        <v>678</v>
      </c>
      <c r="M20" s="57" t="s">
        <v>752</v>
      </c>
      <c r="N20" s="57" t="s">
        <v>753</v>
      </c>
      <c r="O20" s="57" t="s">
        <v>2471</v>
      </c>
      <c r="P20" s="57" t="s">
        <v>675</v>
      </c>
      <c r="Q20" s="209">
        <v>1995</v>
      </c>
      <c r="R20" s="57">
        <v>2</v>
      </c>
      <c r="S20" s="57"/>
      <c r="T20" s="59"/>
      <c r="U20" s="57"/>
      <c r="V20" s="57"/>
      <c r="W20" s="57"/>
      <c r="X20" s="57">
        <v>0</v>
      </c>
      <c r="Y20" s="58">
        <v>2</v>
      </c>
      <c r="Z20" s="44" t="s">
        <v>676</v>
      </c>
      <c r="AA20" s="45">
        <v>2021</v>
      </c>
      <c r="AB20" s="45">
        <v>7</v>
      </c>
      <c r="AC20" s="45">
        <v>16</v>
      </c>
      <c r="AD20" s="144" t="b">
        <f>IF(ISBLANK(GroupMember[[#This Row],[1. Identifiant interne d’exploitation agricole*]]),"",IF(ISERROR(MATCH(GroupMember[[#This Row],[1. Identifiant interne d’exploitation agricole*]],CertifiedCrop[1. Identifiant interne d’exploitation agricole*],0)),FALSE,TRUE))</f>
        <v>1</v>
      </c>
      <c r="AE20" s="144" t="b">
        <f>IF(ISBLANK(GroupMember[[#This Row],[1. Identifiant interne d’exploitation agricole*]]),"",IF(ISERROR(MATCH(GroupMember[[#This Row],[1. Identifiant interne d’exploitation agricole*]],FarmUnit[1. Identifiant interne d’exploitation agricole*],0)),FALSE,TRUE))</f>
        <v>1</v>
      </c>
      <c r="AF20" s="10" t="str">
        <f t="shared" si="0"/>
        <v>OUEDRAOGO SAIDOU</v>
      </c>
      <c r="AG20" s="65" t="str">
        <f t="shared" si="3"/>
        <v>16/7/2021</v>
      </c>
      <c r="AH20" s="66">
        <f t="shared" si="1"/>
        <v>6</v>
      </c>
      <c r="AI20" s="64">
        <f t="shared" si="2"/>
        <v>0.16666666666666666</v>
      </c>
    </row>
    <row r="21" spans="1:35" s="1" customFormat="1" ht="13.15" customHeight="1">
      <c r="A21" s="57" t="s">
        <v>754</v>
      </c>
      <c r="B21" s="57" t="s">
        <v>754</v>
      </c>
      <c r="C21" s="57" t="s">
        <v>754</v>
      </c>
      <c r="D21" s="57" t="s">
        <v>667</v>
      </c>
      <c r="E21" s="57" t="s">
        <v>668</v>
      </c>
      <c r="F21" s="57" t="s">
        <v>669</v>
      </c>
      <c r="G21" s="57" t="s">
        <v>670</v>
      </c>
      <c r="H21" s="195">
        <v>5.0343999999999998</v>
      </c>
      <c r="I21" s="57" t="s">
        <v>671</v>
      </c>
      <c r="J21" s="57">
        <v>1</v>
      </c>
      <c r="K21" s="58">
        <v>2021</v>
      </c>
      <c r="L21" s="57" t="s">
        <v>755</v>
      </c>
      <c r="M21" s="57" t="s">
        <v>756</v>
      </c>
      <c r="N21" s="57" t="s">
        <v>757</v>
      </c>
      <c r="O21" s="57" t="s">
        <v>2472</v>
      </c>
      <c r="P21" s="57" t="s">
        <v>675</v>
      </c>
      <c r="Q21" s="209">
        <v>1979</v>
      </c>
      <c r="R21" s="57">
        <v>7</v>
      </c>
      <c r="S21" s="57"/>
      <c r="T21" s="59"/>
      <c r="U21" s="57"/>
      <c r="V21" s="57"/>
      <c r="W21" s="57"/>
      <c r="X21" s="57">
        <v>0</v>
      </c>
      <c r="Y21" s="58">
        <v>2</v>
      </c>
      <c r="Z21" s="44" t="s">
        <v>676</v>
      </c>
      <c r="AA21" s="45">
        <v>2021</v>
      </c>
      <c r="AB21" s="45">
        <v>8</v>
      </c>
      <c r="AC21" s="45">
        <v>9</v>
      </c>
      <c r="AD21" s="144" t="b">
        <f>IF(ISBLANK(GroupMember[[#This Row],[1. Identifiant interne d’exploitation agricole*]]),"",IF(ISERROR(MATCH(GroupMember[[#This Row],[1. Identifiant interne d’exploitation agricole*]],CertifiedCrop[1. Identifiant interne d’exploitation agricole*],0)),FALSE,TRUE))</f>
        <v>1</v>
      </c>
      <c r="AE21" s="144" t="b">
        <f>IF(ISBLANK(GroupMember[[#This Row],[1. Identifiant interne d’exploitation agricole*]]),"",IF(ISERROR(MATCH(GroupMember[[#This Row],[1. Identifiant interne d’exploitation agricole*]],FarmUnit[1. Identifiant interne d’exploitation agricole*],0)),FALSE,TRUE))</f>
        <v>1</v>
      </c>
      <c r="AF21" s="10" t="str">
        <f t="shared" si="0"/>
        <v>OUEDRAOGO SAMANDE GILBERT</v>
      </c>
      <c r="AG21" s="65" t="str">
        <f t="shared" si="3"/>
        <v>9/8/2021</v>
      </c>
      <c r="AH21" s="66">
        <f t="shared" si="1"/>
        <v>4</v>
      </c>
      <c r="AI21" s="64">
        <f t="shared" si="2"/>
        <v>0.16666666666666666</v>
      </c>
    </row>
    <row r="22" spans="1:35" s="1" customFormat="1" ht="13.15" customHeight="1">
      <c r="A22" s="57" t="s">
        <v>758</v>
      </c>
      <c r="B22" s="57" t="s">
        <v>758</v>
      </c>
      <c r="C22" s="57" t="s">
        <v>758</v>
      </c>
      <c r="D22" s="57" t="s">
        <v>667</v>
      </c>
      <c r="E22" s="57" t="s">
        <v>668</v>
      </c>
      <c r="F22" s="57" t="s">
        <v>669</v>
      </c>
      <c r="G22" s="57" t="s">
        <v>670</v>
      </c>
      <c r="H22" s="195">
        <v>5.5602</v>
      </c>
      <c r="I22" s="57" t="s">
        <v>671</v>
      </c>
      <c r="J22" s="57">
        <v>1</v>
      </c>
      <c r="K22" s="58">
        <v>2021</v>
      </c>
      <c r="L22" s="57" t="s">
        <v>759</v>
      </c>
      <c r="M22" s="57" t="s">
        <v>760</v>
      </c>
      <c r="N22" s="57" t="s">
        <v>761</v>
      </c>
      <c r="O22" s="57" t="s">
        <v>762</v>
      </c>
      <c r="P22" s="57" t="s">
        <v>675</v>
      </c>
      <c r="Q22" s="209">
        <v>1985</v>
      </c>
      <c r="R22" s="57">
        <v>9</v>
      </c>
      <c r="S22" s="57"/>
      <c r="T22" s="59"/>
      <c r="U22" s="57"/>
      <c r="V22" s="57"/>
      <c r="W22" s="57"/>
      <c r="X22" s="57">
        <v>0</v>
      </c>
      <c r="Y22" s="58">
        <v>2</v>
      </c>
      <c r="Z22" s="44" t="s">
        <v>676</v>
      </c>
      <c r="AA22" s="45">
        <v>2021</v>
      </c>
      <c r="AB22" s="45">
        <v>7</v>
      </c>
      <c r="AC22" s="45">
        <v>8</v>
      </c>
      <c r="AD22" s="144" t="b">
        <f>IF(ISBLANK(GroupMember[[#This Row],[1. Identifiant interne d’exploitation agricole*]]),"",IF(ISERROR(MATCH(GroupMember[[#This Row],[1. Identifiant interne d’exploitation agricole*]],CertifiedCrop[1. Identifiant interne d’exploitation agricole*],0)),FALSE,TRUE))</f>
        <v>1</v>
      </c>
      <c r="AE22" s="144" t="b">
        <f>IF(ISBLANK(GroupMember[[#This Row],[1. Identifiant interne d’exploitation agricole*]]),"",IF(ISERROR(MATCH(GroupMember[[#This Row],[1. Identifiant interne d’exploitation agricole*]],FarmUnit[1. Identifiant interne d’exploitation agricole*],0)),FALSE,TRUE))</f>
        <v>1</v>
      </c>
      <c r="AF22" s="10" t="str">
        <f t="shared" si="0"/>
        <v>RAKISTABA YEMBI</v>
      </c>
      <c r="AG22" s="65" t="str">
        <f t="shared" si="3"/>
        <v>8/7/2021</v>
      </c>
      <c r="AH22" s="66">
        <f t="shared" si="1"/>
        <v>6</v>
      </c>
      <c r="AI22" s="64">
        <f t="shared" si="2"/>
        <v>0.16666666666666666</v>
      </c>
    </row>
    <row r="23" spans="1:35" s="1" customFormat="1" ht="13.15" customHeight="1">
      <c r="A23" s="57" t="s">
        <v>763</v>
      </c>
      <c r="B23" s="57" t="s">
        <v>763</v>
      </c>
      <c r="C23" s="57" t="s">
        <v>763</v>
      </c>
      <c r="D23" s="57" t="s">
        <v>667</v>
      </c>
      <c r="E23" s="57" t="s">
        <v>668</v>
      </c>
      <c r="F23" s="57" t="s">
        <v>669</v>
      </c>
      <c r="G23" s="57" t="s">
        <v>670</v>
      </c>
      <c r="H23" s="195">
        <v>3.6503999999999999</v>
      </c>
      <c r="I23" s="57" t="s">
        <v>671</v>
      </c>
      <c r="J23" s="57">
        <v>1</v>
      </c>
      <c r="K23" s="58">
        <v>2021</v>
      </c>
      <c r="L23" s="57" t="s">
        <v>759</v>
      </c>
      <c r="M23" s="57" t="s">
        <v>764</v>
      </c>
      <c r="N23" s="57" t="s">
        <v>765</v>
      </c>
      <c r="O23" s="57" t="s">
        <v>766</v>
      </c>
      <c r="P23" s="57" t="s">
        <v>675</v>
      </c>
      <c r="Q23" s="209">
        <v>1983</v>
      </c>
      <c r="R23" s="57">
        <v>9</v>
      </c>
      <c r="S23" s="57"/>
      <c r="T23" s="57"/>
      <c r="U23" s="57"/>
      <c r="V23" s="57"/>
      <c r="W23" s="57"/>
      <c r="X23" s="57">
        <v>0</v>
      </c>
      <c r="Y23" s="58">
        <v>2</v>
      </c>
      <c r="Z23" s="44" t="s">
        <v>676</v>
      </c>
      <c r="AA23" s="45">
        <v>2021</v>
      </c>
      <c r="AB23" s="45">
        <v>7</v>
      </c>
      <c r="AC23" s="45">
        <v>27</v>
      </c>
      <c r="AD23" s="144" t="b">
        <f>IF(ISBLANK(GroupMember[[#This Row],[1. Identifiant interne d’exploitation agricole*]]),"",IF(ISERROR(MATCH(GroupMember[[#This Row],[1. Identifiant interne d’exploitation agricole*]],CertifiedCrop[1. Identifiant interne d’exploitation agricole*],0)),FALSE,TRUE))</f>
        <v>1</v>
      </c>
      <c r="AE23" s="144" t="b">
        <f>IF(ISBLANK(GroupMember[[#This Row],[1. Identifiant interne d’exploitation agricole*]]),"",IF(ISERROR(MATCH(GroupMember[[#This Row],[1. Identifiant interne d’exploitation agricole*]],FarmUnit[1. Identifiant interne d’exploitation agricole*],0)),FALSE,TRUE))</f>
        <v>1</v>
      </c>
      <c r="AF23" s="10" t="str">
        <f t="shared" si="0"/>
        <v>RAKISTABA SAMBIKETA</v>
      </c>
      <c r="AG23" s="65" t="str">
        <f t="shared" si="3"/>
        <v>27/7/2021</v>
      </c>
      <c r="AH23" s="66">
        <f t="shared" si="1"/>
        <v>6</v>
      </c>
      <c r="AI23" s="64">
        <f t="shared" si="2"/>
        <v>0.16666666666666666</v>
      </c>
    </row>
    <row r="24" spans="1:35" s="1" customFormat="1" ht="13.15" customHeight="1">
      <c r="A24" s="57" t="s">
        <v>767</v>
      </c>
      <c r="B24" s="57" t="s">
        <v>767</v>
      </c>
      <c r="C24" s="57" t="s">
        <v>767</v>
      </c>
      <c r="D24" s="57" t="s">
        <v>667</v>
      </c>
      <c r="E24" s="57" t="s">
        <v>668</v>
      </c>
      <c r="F24" s="57" t="s">
        <v>669</v>
      </c>
      <c r="G24" s="57" t="s">
        <v>670</v>
      </c>
      <c r="H24" s="195">
        <v>13.489699999999999</v>
      </c>
      <c r="I24" s="57" t="s">
        <v>671</v>
      </c>
      <c r="J24" s="57">
        <v>1</v>
      </c>
      <c r="K24" s="58">
        <v>2021</v>
      </c>
      <c r="L24" s="57" t="s">
        <v>768</v>
      </c>
      <c r="M24" s="57" t="s">
        <v>769</v>
      </c>
      <c r="N24" s="57" t="s">
        <v>770</v>
      </c>
      <c r="O24" s="57" t="s">
        <v>771</v>
      </c>
      <c r="P24" s="57" t="s">
        <v>675</v>
      </c>
      <c r="Q24" s="209">
        <v>1977</v>
      </c>
      <c r="R24" s="57">
        <v>8</v>
      </c>
      <c r="S24" s="57"/>
      <c r="T24" s="57"/>
      <c r="U24" s="57"/>
      <c r="V24" s="57"/>
      <c r="W24" s="57"/>
      <c r="X24" s="57">
        <v>2</v>
      </c>
      <c r="Y24" s="58">
        <v>4</v>
      </c>
      <c r="Z24" s="44" t="s">
        <v>676</v>
      </c>
      <c r="AA24" s="45">
        <v>2021</v>
      </c>
      <c r="AB24" s="45">
        <v>7</v>
      </c>
      <c r="AC24" s="45">
        <v>19</v>
      </c>
      <c r="AD24" s="144" t="b">
        <f>IF(ISBLANK(GroupMember[[#This Row],[1. Identifiant interne d’exploitation agricole*]]),"",IF(ISERROR(MATCH(GroupMember[[#This Row],[1. Identifiant interne d’exploitation agricole*]],CertifiedCrop[1. Identifiant interne d’exploitation agricole*],0)),FALSE,TRUE))</f>
        <v>1</v>
      </c>
      <c r="AE24" s="144" t="b">
        <f>IF(ISBLANK(GroupMember[[#This Row],[1. Identifiant interne d’exploitation agricole*]]),"",IF(ISERROR(MATCH(GroupMember[[#This Row],[1. Identifiant interne d’exploitation agricole*]],FarmUnit[1. Identifiant interne d’exploitation agricole*],0)),FALSE,TRUE))</f>
        <v>1</v>
      </c>
      <c r="AF24" s="10" t="str">
        <f t="shared" si="0"/>
        <v>SARAMBE SALIFOU</v>
      </c>
      <c r="AG24" s="65" t="str">
        <f t="shared" si="3"/>
        <v>19/7/2021</v>
      </c>
      <c r="AH24" s="66">
        <f t="shared" si="1"/>
        <v>6</v>
      </c>
      <c r="AI24" s="64">
        <f t="shared" si="2"/>
        <v>2.3333333333333335</v>
      </c>
    </row>
    <row r="25" spans="1:35" s="1" customFormat="1" ht="13.15" customHeight="1">
      <c r="A25" s="57" t="s">
        <v>772</v>
      </c>
      <c r="B25" s="57" t="s">
        <v>772</v>
      </c>
      <c r="C25" s="57" t="s">
        <v>772</v>
      </c>
      <c r="D25" s="57" t="s">
        <v>667</v>
      </c>
      <c r="E25" s="57" t="s">
        <v>668</v>
      </c>
      <c r="F25" s="57" t="s">
        <v>669</v>
      </c>
      <c r="G25" s="57" t="s">
        <v>670</v>
      </c>
      <c r="H25" s="195">
        <v>3.6198999999999999</v>
      </c>
      <c r="I25" s="57" t="s">
        <v>671</v>
      </c>
      <c r="J25" s="57">
        <v>1</v>
      </c>
      <c r="K25" s="58">
        <v>2021</v>
      </c>
      <c r="L25" s="57" t="s">
        <v>773</v>
      </c>
      <c r="M25" s="57" t="s">
        <v>774</v>
      </c>
      <c r="N25" s="57" t="s">
        <v>775</v>
      </c>
      <c r="O25" s="57" t="s">
        <v>776</v>
      </c>
      <c r="P25" s="57" t="s">
        <v>675</v>
      </c>
      <c r="Q25" s="209">
        <v>1961</v>
      </c>
      <c r="R25" s="57">
        <v>4</v>
      </c>
      <c r="S25" s="57"/>
      <c r="T25" s="57"/>
      <c r="U25" s="57"/>
      <c r="V25" s="57"/>
      <c r="W25" s="57"/>
      <c r="X25" s="57">
        <v>0</v>
      </c>
      <c r="Y25" s="58">
        <v>2</v>
      </c>
      <c r="Z25" s="44" t="s">
        <v>676</v>
      </c>
      <c r="AA25" s="45">
        <v>2021</v>
      </c>
      <c r="AB25" s="45">
        <v>8</v>
      </c>
      <c r="AC25" s="45">
        <v>9</v>
      </c>
      <c r="AD25" s="144" t="b">
        <f>IF(ISBLANK(GroupMember[[#This Row],[1. Identifiant interne d’exploitation agricole*]]),"",IF(ISERROR(MATCH(GroupMember[[#This Row],[1. Identifiant interne d’exploitation agricole*]],CertifiedCrop[1. Identifiant interne d’exploitation agricole*],0)),FALSE,TRUE))</f>
        <v>1</v>
      </c>
      <c r="AE25" s="144" t="b">
        <f>IF(ISBLANK(GroupMember[[#This Row],[1. Identifiant interne d’exploitation agricole*]]),"",IF(ISERROR(MATCH(GroupMember[[#This Row],[1. Identifiant interne d’exploitation agricole*]],FarmUnit[1. Identifiant interne d’exploitation agricole*],0)),FALSE,TRUE))</f>
        <v>1</v>
      </c>
      <c r="AF25" s="10" t="str">
        <f t="shared" si="0"/>
        <v>ZONGO MOUMOUNI</v>
      </c>
      <c r="AG25" s="65" t="str">
        <f t="shared" si="3"/>
        <v>9/8/2021</v>
      </c>
      <c r="AH25" s="66">
        <f t="shared" si="1"/>
        <v>4</v>
      </c>
      <c r="AI25" s="64">
        <f t="shared" si="2"/>
        <v>0.16666666666666666</v>
      </c>
    </row>
    <row r="26" spans="1:35" s="1" customFormat="1" ht="13.15" customHeight="1">
      <c r="A26" s="57" t="s">
        <v>777</v>
      </c>
      <c r="B26" s="57" t="s">
        <v>777</v>
      </c>
      <c r="C26" s="57" t="s">
        <v>777</v>
      </c>
      <c r="D26" s="57" t="s">
        <v>667</v>
      </c>
      <c r="E26" s="57" t="s">
        <v>668</v>
      </c>
      <c r="F26" s="57" t="s">
        <v>669</v>
      </c>
      <c r="G26" s="57" t="s">
        <v>670</v>
      </c>
      <c r="H26" s="195">
        <v>11.1645</v>
      </c>
      <c r="I26" s="57" t="s">
        <v>671</v>
      </c>
      <c r="J26" s="57">
        <v>1</v>
      </c>
      <c r="K26" s="58">
        <v>2021</v>
      </c>
      <c r="L26" s="57" t="s">
        <v>778</v>
      </c>
      <c r="M26" s="57" t="s">
        <v>779</v>
      </c>
      <c r="N26" s="57" t="s">
        <v>780</v>
      </c>
      <c r="O26" s="57" t="s">
        <v>781</v>
      </c>
      <c r="P26" s="57" t="s">
        <v>675</v>
      </c>
      <c r="Q26" s="209">
        <v>1977</v>
      </c>
      <c r="R26" s="57">
        <v>11</v>
      </c>
      <c r="S26" s="57"/>
      <c r="T26" s="57"/>
      <c r="U26" s="57"/>
      <c r="V26" s="57"/>
      <c r="W26" s="57"/>
      <c r="X26" s="57">
        <v>3</v>
      </c>
      <c r="Y26" s="58">
        <v>5</v>
      </c>
      <c r="Z26" s="44" t="s">
        <v>676</v>
      </c>
      <c r="AA26" s="45">
        <v>2021</v>
      </c>
      <c r="AB26" s="45">
        <v>8</v>
      </c>
      <c r="AC26" s="45">
        <v>10</v>
      </c>
      <c r="AD26" s="144" t="b">
        <f>IF(ISBLANK(GroupMember[[#This Row],[1. Identifiant interne d’exploitation agricole*]]),"",IF(ISERROR(MATCH(GroupMember[[#This Row],[1. Identifiant interne d’exploitation agricole*]],CertifiedCrop[1. Identifiant interne d’exploitation agricole*],0)),FALSE,TRUE))</f>
        <v>1</v>
      </c>
      <c r="AE26" s="144" t="b">
        <f>IF(ISBLANK(GroupMember[[#This Row],[1. Identifiant interne d’exploitation agricole*]]),"",IF(ISERROR(MATCH(GroupMember[[#This Row],[1. Identifiant interne d’exploitation agricole*]],FarmUnit[1. Identifiant interne d’exploitation agricole*],0)),FALSE,TRUE))</f>
        <v>1</v>
      </c>
      <c r="AF26" s="10" t="str">
        <f t="shared" si="0"/>
        <v>HIEN TILYETE</v>
      </c>
      <c r="AG26" s="65" t="str">
        <f t="shared" si="3"/>
        <v>10/8/2021</v>
      </c>
      <c r="AH26" s="66">
        <f t="shared" si="1"/>
        <v>4</v>
      </c>
      <c r="AI26" s="64">
        <f t="shared" si="2"/>
        <v>3.4166666666666665</v>
      </c>
    </row>
    <row r="27" spans="1:35" s="1" customFormat="1" ht="13.15" customHeight="1">
      <c r="A27" s="57" t="s">
        <v>782</v>
      </c>
      <c r="B27" s="57" t="s">
        <v>782</v>
      </c>
      <c r="C27" s="57" t="s">
        <v>782</v>
      </c>
      <c r="D27" s="57" t="s">
        <v>667</v>
      </c>
      <c r="E27" s="57" t="s">
        <v>668</v>
      </c>
      <c r="F27" s="57" t="s">
        <v>669</v>
      </c>
      <c r="G27" s="57" t="s">
        <v>670</v>
      </c>
      <c r="H27" s="195">
        <v>5.1508000000000003</v>
      </c>
      <c r="I27" s="57" t="s">
        <v>671</v>
      </c>
      <c r="J27" s="57">
        <v>1</v>
      </c>
      <c r="K27" s="58">
        <v>2021</v>
      </c>
      <c r="L27" s="57" t="s">
        <v>783</v>
      </c>
      <c r="M27" s="57" t="s">
        <v>784</v>
      </c>
      <c r="N27" s="57" t="s">
        <v>785</v>
      </c>
      <c r="O27" s="57" t="s">
        <v>786</v>
      </c>
      <c r="P27" s="57" t="s">
        <v>675</v>
      </c>
      <c r="Q27" s="209">
        <v>1978</v>
      </c>
      <c r="R27" s="57">
        <v>4</v>
      </c>
      <c r="S27" s="57"/>
      <c r="T27" s="57"/>
      <c r="U27" s="57"/>
      <c r="V27" s="57"/>
      <c r="W27" s="57"/>
      <c r="X27" s="57">
        <v>0</v>
      </c>
      <c r="Y27" s="58">
        <v>2</v>
      </c>
      <c r="Z27" s="44" t="s">
        <v>676</v>
      </c>
      <c r="AA27" s="45">
        <v>2021</v>
      </c>
      <c r="AB27" s="45">
        <v>7</v>
      </c>
      <c r="AC27" s="45">
        <v>22</v>
      </c>
      <c r="AD27" s="144" t="b">
        <f>IF(ISBLANK(GroupMember[[#This Row],[1. Identifiant interne d’exploitation agricole*]]),"",IF(ISERROR(MATCH(GroupMember[[#This Row],[1. Identifiant interne d’exploitation agricole*]],CertifiedCrop[1. Identifiant interne d’exploitation agricole*],0)),FALSE,TRUE))</f>
        <v>1</v>
      </c>
      <c r="AE27" s="144" t="b">
        <f>IF(ISBLANK(GroupMember[[#This Row],[1. Identifiant interne d’exploitation agricole*]]),"",IF(ISERROR(MATCH(GroupMember[[#This Row],[1. Identifiant interne d’exploitation agricole*]],FarmUnit[1. Identifiant interne d’exploitation agricole*],0)),FALSE,TRUE))</f>
        <v>1</v>
      </c>
      <c r="AF27" s="10" t="str">
        <f t="shared" si="0"/>
        <v>DAH DIENTCHILE</v>
      </c>
      <c r="AG27" s="65" t="str">
        <f t="shared" si="3"/>
        <v>22/7/2021</v>
      </c>
      <c r="AH27" s="66">
        <f t="shared" si="1"/>
        <v>6</v>
      </c>
      <c r="AI27" s="64">
        <f t="shared" si="2"/>
        <v>0.16666666666666666</v>
      </c>
    </row>
    <row r="28" spans="1:35" s="1" customFormat="1" ht="13.15" customHeight="1">
      <c r="A28" s="57" t="s">
        <v>787</v>
      </c>
      <c r="B28" s="57" t="s">
        <v>787</v>
      </c>
      <c r="C28" s="57" t="s">
        <v>787</v>
      </c>
      <c r="D28" s="57" t="s">
        <v>667</v>
      </c>
      <c r="E28" s="57" t="s">
        <v>668</v>
      </c>
      <c r="F28" s="57" t="s">
        <v>669</v>
      </c>
      <c r="G28" s="57" t="s">
        <v>670</v>
      </c>
      <c r="H28" s="195">
        <v>7.4074999999999998</v>
      </c>
      <c r="I28" s="57" t="s">
        <v>671</v>
      </c>
      <c r="J28" s="57">
        <v>1</v>
      </c>
      <c r="K28" s="58">
        <v>2021</v>
      </c>
      <c r="L28" s="57" t="s">
        <v>788</v>
      </c>
      <c r="M28" s="57" t="s">
        <v>789</v>
      </c>
      <c r="N28" s="57" t="s">
        <v>790</v>
      </c>
      <c r="O28" s="57" t="s">
        <v>791</v>
      </c>
      <c r="P28" s="57" t="s">
        <v>675</v>
      </c>
      <c r="Q28" s="209">
        <v>1983</v>
      </c>
      <c r="R28" s="57">
        <v>7</v>
      </c>
      <c r="S28" s="57"/>
      <c r="T28" s="57"/>
      <c r="U28" s="57"/>
      <c r="V28" s="57"/>
      <c r="W28" s="57"/>
      <c r="X28" s="57">
        <v>4</v>
      </c>
      <c r="Y28" s="58">
        <v>6</v>
      </c>
      <c r="Z28" s="44" t="s">
        <v>676</v>
      </c>
      <c r="AA28" s="45">
        <v>2021</v>
      </c>
      <c r="AB28" s="45">
        <v>8</v>
      </c>
      <c r="AC28" s="45">
        <v>11</v>
      </c>
      <c r="AD28" s="144" t="b">
        <f>IF(ISBLANK(GroupMember[[#This Row],[1. Identifiant interne d’exploitation agricole*]]),"",IF(ISERROR(MATCH(GroupMember[[#This Row],[1. Identifiant interne d’exploitation agricole*]],CertifiedCrop[1. Identifiant interne d’exploitation agricole*],0)),FALSE,TRUE))</f>
        <v>1</v>
      </c>
      <c r="AE28" s="144" t="b">
        <f>IF(ISBLANK(GroupMember[[#This Row],[1. Identifiant interne d’exploitation agricole*]]),"",IF(ISERROR(MATCH(GroupMember[[#This Row],[1. Identifiant interne d’exploitation agricole*]],FarmUnit[1. Identifiant interne d’exploitation agricole*],0)),FALSE,TRUE))</f>
        <v>1</v>
      </c>
      <c r="AF28" s="10" t="str">
        <f t="shared" si="0"/>
        <v>COMPAORE SAANGA</v>
      </c>
      <c r="AG28" s="65" t="str">
        <f t="shared" si="3"/>
        <v>11/8/2021</v>
      </c>
      <c r="AH28" s="66">
        <f t="shared" si="1"/>
        <v>4</v>
      </c>
      <c r="AI28" s="64">
        <f t="shared" si="2"/>
        <v>4.5</v>
      </c>
    </row>
    <row r="29" spans="1:35" s="1" customFormat="1" ht="13.15" customHeight="1">
      <c r="A29" s="57" t="s">
        <v>792</v>
      </c>
      <c r="B29" s="57" t="s">
        <v>792</v>
      </c>
      <c r="C29" s="57" t="s">
        <v>792</v>
      </c>
      <c r="D29" s="57" t="s">
        <v>667</v>
      </c>
      <c r="E29" s="57" t="s">
        <v>668</v>
      </c>
      <c r="F29" s="57" t="s">
        <v>669</v>
      </c>
      <c r="G29" s="57" t="s">
        <v>670</v>
      </c>
      <c r="H29" s="195">
        <v>3.6616</v>
      </c>
      <c r="I29" s="57" t="s">
        <v>671</v>
      </c>
      <c r="J29" s="57">
        <v>1</v>
      </c>
      <c r="K29" s="58">
        <v>2021</v>
      </c>
      <c r="L29" s="57" t="s">
        <v>678</v>
      </c>
      <c r="M29" s="57" t="s">
        <v>793</v>
      </c>
      <c r="N29" s="57" t="s">
        <v>794</v>
      </c>
      <c r="O29" s="57" t="s">
        <v>795</v>
      </c>
      <c r="P29" s="57" t="s">
        <v>720</v>
      </c>
      <c r="Q29" s="209">
        <v>1981</v>
      </c>
      <c r="R29" s="57">
        <v>5</v>
      </c>
      <c r="S29" s="57"/>
      <c r="T29" s="57"/>
      <c r="U29" s="57"/>
      <c r="V29" s="57"/>
      <c r="W29" s="57"/>
      <c r="X29" s="57">
        <v>0</v>
      </c>
      <c r="Y29" s="58">
        <v>2</v>
      </c>
      <c r="Z29" s="44" t="s">
        <v>676</v>
      </c>
      <c r="AA29" s="45">
        <v>2021</v>
      </c>
      <c r="AB29" s="45">
        <v>7</v>
      </c>
      <c r="AC29" s="45">
        <v>28</v>
      </c>
      <c r="AD29" s="144" t="b">
        <f>IF(ISBLANK(GroupMember[[#This Row],[1. Identifiant interne d’exploitation agricole*]]),"",IF(ISERROR(MATCH(GroupMember[[#This Row],[1. Identifiant interne d’exploitation agricole*]],CertifiedCrop[1. Identifiant interne d’exploitation agricole*],0)),FALSE,TRUE))</f>
        <v>1</v>
      </c>
      <c r="AE29" s="144" t="b">
        <f>IF(ISBLANK(GroupMember[[#This Row],[1. Identifiant interne d’exploitation agricole*]]),"",IF(ISERROR(MATCH(GroupMember[[#This Row],[1. Identifiant interne d’exploitation agricole*]],FarmUnit[1. Identifiant interne d’exploitation agricole*],0)),FALSE,TRUE))</f>
        <v>1</v>
      </c>
      <c r="AF29" s="10" t="str">
        <f t="shared" si="0"/>
        <v>OUEDRAOGO EMMA</v>
      </c>
      <c r="AG29" s="65" t="str">
        <f t="shared" si="3"/>
        <v>28/7/2021</v>
      </c>
      <c r="AH29" s="66">
        <f t="shared" si="1"/>
        <v>5</v>
      </c>
      <c r="AI29" s="64">
        <f t="shared" si="2"/>
        <v>0.16666666666666666</v>
      </c>
    </row>
    <row r="30" spans="1:35" s="1" customFormat="1" ht="13.15" customHeight="1">
      <c r="A30" s="57" t="s">
        <v>796</v>
      </c>
      <c r="B30" s="57" t="s">
        <v>796</v>
      </c>
      <c r="C30" s="57" t="s">
        <v>796</v>
      </c>
      <c r="D30" s="57" t="s">
        <v>667</v>
      </c>
      <c r="E30" s="57" t="s">
        <v>668</v>
      </c>
      <c r="F30" s="57" t="s">
        <v>669</v>
      </c>
      <c r="G30" s="57" t="s">
        <v>670</v>
      </c>
      <c r="H30" s="195">
        <v>5.8068</v>
      </c>
      <c r="I30" s="57" t="s">
        <v>671</v>
      </c>
      <c r="J30" s="57">
        <v>1</v>
      </c>
      <c r="K30" s="58">
        <v>2021</v>
      </c>
      <c r="L30" s="57" t="s">
        <v>678</v>
      </c>
      <c r="M30" s="57" t="s">
        <v>797</v>
      </c>
      <c r="N30" s="57" t="s">
        <v>798</v>
      </c>
      <c r="O30" s="57" t="s">
        <v>2473</v>
      </c>
      <c r="P30" s="57" t="s">
        <v>675</v>
      </c>
      <c r="Q30" s="209">
        <v>1960</v>
      </c>
      <c r="R30" s="57">
        <v>5</v>
      </c>
      <c r="S30" s="57"/>
      <c r="T30" s="57"/>
      <c r="U30" s="57"/>
      <c r="V30" s="57"/>
      <c r="W30" s="57"/>
      <c r="X30" s="57">
        <v>0</v>
      </c>
      <c r="Y30" s="58">
        <v>2</v>
      </c>
      <c r="Z30" s="44" t="s">
        <v>676</v>
      </c>
      <c r="AA30" s="45">
        <v>2021</v>
      </c>
      <c r="AB30" s="45">
        <v>7</v>
      </c>
      <c r="AC30" s="45">
        <v>13</v>
      </c>
      <c r="AD30" s="144" t="b">
        <f>IF(ISBLANK(GroupMember[[#This Row],[1. Identifiant interne d’exploitation agricole*]]),"",IF(ISERROR(MATCH(GroupMember[[#This Row],[1. Identifiant interne d’exploitation agricole*]],CertifiedCrop[1. Identifiant interne d’exploitation agricole*],0)),FALSE,TRUE))</f>
        <v>1</v>
      </c>
      <c r="AE30" s="144" t="b">
        <f>IF(ISBLANK(GroupMember[[#This Row],[1. Identifiant interne d’exploitation agricole*]]),"",IF(ISERROR(MATCH(GroupMember[[#This Row],[1. Identifiant interne d’exploitation agricole*]],FarmUnit[1. Identifiant interne d’exploitation agricole*],0)),FALSE,TRUE))</f>
        <v>1</v>
      </c>
      <c r="AF30" s="10" t="str">
        <f t="shared" si="0"/>
        <v xml:space="preserve">OUEDRAOGO GABRIEL </v>
      </c>
      <c r="AG30" s="65" t="str">
        <f t="shared" si="3"/>
        <v>13/7/2021</v>
      </c>
      <c r="AH30" s="66">
        <f t="shared" si="1"/>
        <v>6</v>
      </c>
      <c r="AI30" s="64">
        <f t="shared" si="2"/>
        <v>0.16666666666666666</v>
      </c>
    </row>
    <row r="31" spans="1:35" s="1" customFormat="1" ht="13.15" customHeight="1">
      <c r="A31" s="57" t="s">
        <v>799</v>
      </c>
      <c r="B31" s="57" t="s">
        <v>799</v>
      </c>
      <c r="C31" s="57" t="s">
        <v>799</v>
      </c>
      <c r="D31" s="57" t="s">
        <v>667</v>
      </c>
      <c r="E31" s="57" t="s">
        <v>668</v>
      </c>
      <c r="F31" s="57" t="s">
        <v>669</v>
      </c>
      <c r="G31" s="57" t="s">
        <v>670</v>
      </c>
      <c r="H31" s="195">
        <v>14.986000000000001</v>
      </c>
      <c r="I31" s="57" t="s">
        <v>671</v>
      </c>
      <c r="J31" s="57">
        <v>1</v>
      </c>
      <c r="K31" s="58">
        <v>2021</v>
      </c>
      <c r="L31" s="57" t="s">
        <v>800</v>
      </c>
      <c r="M31" s="57" t="s">
        <v>801</v>
      </c>
      <c r="N31" s="57" t="s">
        <v>802</v>
      </c>
      <c r="O31" s="57" t="s">
        <v>803</v>
      </c>
      <c r="P31" s="57" t="s">
        <v>675</v>
      </c>
      <c r="Q31" s="209">
        <v>1970</v>
      </c>
      <c r="R31" s="57">
        <v>18</v>
      </c>
      <c r="S31" s="57"/>
      <c r="T31" s="57"/>
      <c r="U31" s="57"/>
      <c r="V31" s="57"/>
      <c r="W31" s="57"/>
      <c r="X31" s="57">
        <v>2</v>
      </c>
      <c r="Y31" s="58">
        <v>4</v>
      </c>
      <c r="Z31" s="44" t="s">
        <v>676</v>
      </c>
      <c r="AA31" s="45">
        <v>2021</v>
      </c>
      <c r="AB31" s="45">
        <v>7</v>
      </c>
      <c r="AC31" s="45">
        <v>28</v>
      </c>
      <c r="AD31" s="144" t="b">
        <f>IF(ISBLANK(GroupMember[[#This Row],[1. Identifiant interne d’exploitation agricole*]]),"",IF(ISERROR(MATCH(GroupMember[[#This Row],[1. Identifiant interne d’exploitation agricole*]],CertifiedCrop[1. Identifiant interne d’exploitation agricole*],0)),FALSE,TRUE))</f>
        <v>1</v>
      </c>
      <c r="AE31" s="144" t="b">
        <f>IF(ISBLANK(GroupMember[[#This Row],[1. Identifiant interne d’exploitation agricole*]]),"",IF(ISERROR(MATCH(GroupMember[[#This Row],[1. Identifiant interne d’exploitation agricole*]],FarmUnit[1. Identifiant interne d’exploitation agricole*],0)),FALSE,TRUE))</f>
        <v>1</v>
      </c>
      <c r="AF31" s="10" t="str">
        <f t="shared" si="0"/>
        <v>YEO SEKONHON</v>
      </c>
      <c r="AG31" s="65" t="str">
        <f t="shared" si="3"/>
        <v>28/7/2021</v>
      </c>
      <c r="AH31" s="66">
        <f t="shared" si="1"/>
        <v>5</v>
      </c>
      <c r="AI31" s="64">
        <f t="shared" si="2"/>
        <v>2.3333333333333335</v>
      </c>
    </row>
    <row r="32" spans="1:35" s="1" customFormat="1" ht="13.15" customHeight="1">
      <c r="A32" s="57" t="s">
        <v>804</v>
      </c>
      <c r="B32" s="57" t="s">
        <v>804</v>
      </c>
      <c r="C32" s="57" t="s">
        <v>804</v>
      </c>
      <c r="D32" s="57" t="s">
        <v>667</v>
      </c>
      <c r="E32" s="57" t="s">
        <v>668</v>
      </c>
      <c r="F32" s="57" t="s">
        <v>669</v>
      </c>
      <c r="G32" s="57" t="s">
        <v>670</v>
      </c>
      <c r="H32" s="195">
        <v>5.2405999999999997</v>
      </c>
      <c r="I32" s="57" t="s">
        <v>671</v>
      </c>
      <c r="J32" s="57">
        <v>1</v>
      </c>
      <c r="K32" s="58">
        <v>2021</v>
      </c>
      <c r="L32" s="57" t="s">
        <v>691</v>
      </c>
      <c r="M32" s="57" t="s">
        <v>805</v>
      </c>
      <c r="N32" s="57" t="s">
        <v>806</v>
      </c>
      <c r="O32" s="57" t="s">
        <v>807</v>
      </c>
      <c r="P32" s="57" t="s">
        <v>675</v>
      </c>
      <c r="Q32" s="209">
        <v>1986</v>
      </c>
      <c r="R32" s="57">
        <v>5</v>
      </c>
      <c r="S32" s="57"/>
      <c r="T32" s="57"/>
      <c r="U32" s="57"/>
      <c r="V32" s="57"/>
      <c r="W32" s="57"/>
      <c r="X32" s="57">
        <v>0</v>
      </c>
      <c r="Y32" s="58">
        <v>2</v>
      </c>
      <c r="Z32" s="44" t="s">
        <v>676</v>
      </c>
      <c r="AA32" s="45">
        <v>2021</v>
      </c>
      <c r="AB32" s="45">
        <v>8</v>
      </c>
      <c r="AC32" s="45">
        <v>11</v>
      </c>
      <c r="AD32" s="144" t="b">
        <f>IF(ISBLANK(GroupMember[[#This Row],[1. Identifiant interne d’exploitation agricole*]]),"",IF(ISERROR(MATCH(GroupMember[[#This Row],[1. Identifiant interne d’exploitation agricole*]],CertifiedCrop[1. Identifiant interne d’exploitation agricole*],0)),FALSE,TRUE))</f>
        <v>1</v>
      </c>
      <c r="AE32" s="144" t="b">
        <f>IF(ISBLANK(GroupMember[[#This Row],[1. Identifiant interne d’exploitation agricole*]]),"",IF(ISERROR(MATCH(GroupMember[[#This Row],[1. Identifiant interne d’exploitation agricole*]],FarmUnit[1. Identifiant interne d’exploitation agricole*],0)),FALSE,TRUE))</f>
        <v>1</v>
      </c>
      <c r="AF32" s="10" t="str">
        <f t="shared" si="0"/>
        <v>SORO DJARRA</v>
      </c>
      <c r="AG32" s="65" t="str">
        <f t="shared" si="3"/>
        <v>11/8/2021</v>
      </c>
      <c r="AH32" s="66">
        <f t="shared" si="1"/>
        <v>4</v>
      </c>
      <c r="AI32" s="64">
        <f t="shared" si="2"/>
        <v>0.16666666666666666</v>
      </c>
    </row>
    <row r="33" spans="1:35" s="1" customFormat="1" ht="13.15" customHeight="1">
      <c r="A33" s="57" t="s">
        <v>808</v>
      </c>
      <c r="B33" s="57" t="s">
        <v>808</v>
      </c>
      <c r="C33" s="57" t="s">
        <v>808</v>
      </c>
      <c r="D33" s="57" t="s">
        <v>667</v>
      </c>
      <c r="E33" s="57" t="s">
        <v>668</v>
      </c>
      <c r="F33" s="57" t="s">
        <v>669</v>
      </c>
      <c r="G33" s="57" t="s">
        <v>670</v>
      </c>
      <c r="H33" s="195">
        <v>2.4876</v>
      </c>
      <c r="I33" s="57" t="s">
        <v>671</v>
      </c>
      <c r="J33" s="57">
        <v>1</v>
      </c>
      <c r="K33" s="58">
        <v>2021</v>
      </c>
      <c r="L33" s="57" t="s">
        <v>691</v>
      </c>
      <c r="M33" s="57" t="s">
        <v>809</v>
      </c>
      <c r="N33" s="57" t="s">
        <v>810</v>
      </c>
      <c r="O33" s="57" t="s">
        <v>2474</v>
      </c>
      <c r="P33" s="57" t="s">
        <v>675</v>
      </c>
      <c r="Q33" s="209">
        <v>1985</v>
      </c>
      <c r="R33" s="57">
        <v>4</v>
      </c>
      <c r="S33" s="57"/>
      <c r="T33" s="57"/>
      <c r="U33" s="57"/>
      <c r="V33" s="57"/>
      <c r="W33" s="57"/>
      <c r="X33" s="57">
        <v>0</v>
      </c>
      <c r="Y33" s="58">
        <v>2</v>
      </c>
      <c r="Z33" s="44" t="s">
        <v>676</v>
      </c>
      <c r="AA33" s="45">
        <v>2021</v>
      </c>
      <c r="AB33" s="45">
        <v>7</v>
      </c>
      <c r="AC33" s="45">
        <v>21</v>
      </c>
      <c r="AD33" s="144" t="b">
        <f>IF(ISBLANK(GroupMember[[#This Row],[1. Identifiant interne d’exploitation agricole*]]),"",IF(ISERROR(MATCH(GroupMember[[#This Row],[1. Identifiant interne d’exploitation agricole*]],CertifiedCrop[1. Identifiant interne d’exploitation agricole*],0)),FALSE,TRUE))</f>
        <v>1</v>
      </c>
      <c r="AE33" s="144" t="b">
        <f>IF(ISBLANK(GroupMember[[#This Row],[1. Identifiant interne d’exploitation agricole*]]),"",IF(ISERROR(MATCH(GroupMember[[#This Row],[1. Identifiant interne d’exploitation agricole*]],FarmUnit[1. Identifiant interne d’exploitation agricole*],0)),FALSE,TRUE))</f>
        <v>1</v>
      </c>
      <c r="AF33" s="10" t="str">
        <f t="shared" si="0"/>
        <v>SORO MADE HESSONGOU</v>
      </c>
      <c r="AG33" s="65" t="str">
        <f t="shared" si="3"/>
        <v>21/7/2021</v>
      </c>
      <c r="AH33" s="66">
        <f t="shared" si="1"/>
        <v>6</v>
      </c>
      <c r="AI33" s="64">
        <f t="shared" si="2"/>
        <v>0.16666666666666666</v>
      </c>
    </row>
    <row r="34" spans="1:35" s="1" customFormat="1" ht="13.15" customHeight="1">
      <c r="A34" s="57" t="s">
        <v>811</v>
      </c>
      <c r="B34" s="57" t="s">
        <v>811</v>
      </c>
      <c r="C34" s="57" t="s">
        <v>811</v>
      </c>
      <c r="D34" s="57" t="s">
        <v>667</v>
      </c>
      <c r="E34" s="57" t="s">
        <v>668</v>
      </c>
      <c r="F34" s="57" t="s">
        <v>669</v>
      </c>
      <c r="G34" s="57" t="s">
        <v>670</v>
      </c>
      <c r="H34" s="195">
        <v>4.9495000000000005</v>
      </c>
      <c r="I34" s="57" t="s">
        <v>671</v>
      </c>
      <c r="J34" s="57">
        <v>1</v>
      </c>
      <c r="K34" s="58">
        <v>2021</v>
      </c>
      <c r="L34" s="57" t="s">
        <v>812</v>
      </c>
      <c r="M34" s="57" t="s">
        <v>813</v>
      </c>
      <c r="N34" s="57" t="s">
        <v>814</v>
      </c>
      <c r="O34" s="57" t="s">
        <v>815</v>
      </c>
      <c r="P34" s="57" t="s">
        <v>675</v>
      </c>
      <c r="Q34" s="209">
        <v>1980</v>
      </c>
      <c r="R34" s="57">
        <v>7</v>
      </c>
      <c r="S34" s="57"/>
      <c r="T34" s="57"/>
      <c r="U34" s="57"/>
      <c r="V34" s="57"/>
      <c r="W34" s="57"/>
      <c r="X34" s="57">
        <v>0</v>
      </c>
      <c r="Y34" s="58">
        <v>2</v>
      </c>
      <c r="Z34" s="44" t="s">
        <v>676</v>
      </c>
      <c r="AA34" s="45">
        <v>2021</v>
      </c>
      <c r="AB34" s="45">
        <v>7</v>
      </c>
      <c r="AC34" s="45">
        <v>20</v>
      </c>
      <c r="AD34" s="144" t="b">
        <f>IF(ISBLANK(GroupMember[[#This Row],[1. Identifiant interne d’exploitation agricole*]]),"",IF(ISERROR(MATCH(GroupMember[[#This Row],[1. Identifiant interne d’exploitation agricole*]],CertifiedCrop[1. Identifiant interne d’exploitation agricole*],0)),FALSE,TRUE))</f>
        <v>1</v>
      </c>
      <c r="AE34" s="144" t="b">
        <f>IF(ISBLANK(GroupMember[[#This Row],[1. Identifiant interne d’exploitation agricole*]]),"",IF(ISERROR(MATCH(GroupMember[[#This Row],[1. Identifiant interne d’exploitation agricole*]],FarmUnit[1. Identifiant interne d’exploitation agricole*],0)),FALSE,TRUE))</f>
        <v>1</v>
      </c>
      <c r="AF34" s="10" t="str">
        <f t="shared" si="0"/>
        <v>SEKONGO NANHOUA</v>
      </c>
      <c r="AG34" s="65" t="str">
        <f t="shared" si="3"/>
        <v>20/7/2021</v>
      </c>
      <c r="AH34" s="66">
        <f t="shared" si="1"/>
        <v>6</v>
      </c>
      <c r="AI34" s="64">
        <f t="shared" si="2"/>
        <v>0.16666666666666666</v>
      </c>
    </row>
    <row r="35" spans="1:35" s="1" customFormat="1" ht="13.15" customHeight="1">
      <c r="A35" s="57" t="s">
        <v>816</v>
      </c>
      <c r="B35" s="57" t="s">
        <v>816</v>
      </c>
      <c r="C35" s="57" t="s">
        <v>816</v>
      </c>
      <c r="D35" s="57" t="s">
        <v>667</v>
      </c>
      <c r="E35" s="57" t="s">
        <v>668</v>
      </c>
      <c r="F35" s="57" t="s">
        <v>669</v>
      </c>
      <c r="G35" s="57" t="s">
        <v>670</v>
      </c>
      <c r="H35" s="195">
        <v>4.8136999999999999</v>
      </c>
      <c r="I35" s="57" t="s">
        <v>671</v>
      </c>
      <c r="J35" s="57">
        <v>1</v>
      </c>
      <c r="K35" s="58">
        <v>2021</v>
      </c>
      <c r="L35" s="57" t="s">
        <v>691</v>
      </c>
      <c r="M35" s="57" t="s">
        <v>817</v>
      </c>
      <c r="N35" s="57" t="s">
        <v>818</v>
      </c>
      <c r="O35" s="57" t="s">
        <v>819</v>
      </c>
      <c r="P35" s="57" t="s">
        <v>675</v>
      </c>
      <c r="Q35" s="209">
        <v>1989</v>
      </c>
      <c r="R35" s="57">
        <v>5</v>
      </c>
      <c r="S35" s="57"/>
      <c r="T35" s="46"/>
      <c r="U35" s="57"/>
      <c r="V35" s="57"/>
      <c r="W35" s="57"/>
      <c r="X35" s="57">
        <v>0</v>
      </c>
      <c r="Y35" s="58">
        <v>2</v>
      </c>
      <c r="Z35" s="44" t="s">
        <v>676</v>
      </c>
      <c r="AA35" s="45">
        <v>2021</v>
      </c>
      <c r="AB35" s="45">
        <v>7</v>
      </c>
      <c r="AC35" s="45">
        <v>5</v>
      </c>
      <c r="AD35" s="144" t="b">
        <f>IF(ISBLANK(GroupMember[[#This Row],[1. Identifiant interne d’exploitation agricole*]]),"",IF(ISERROR(MATCH(GroupMember[[#This Row],[1. Identifiant interne d’exploitation agricole*]],CertifiedCrop[1. Identifiant interne d’exploitation agricole*],0)),FALSE,TRUE))</f>
        <v>1</v>
      </c>
      <c r="AE35" s="144" t="b">
        <f>IF(ISBLANK(GroupMember[[#This Row],[1. Identifiant interne d’exploitation agricole*]]),"",IF(ISERROR(MATCH(GroupMember[[#This Row],[1. Identifiant interne d’exploitation agricole*]],FarmUnit[1. Identifiant interne d’exploitation agricole*],0)),FALSE,TRUE))</f>
        <v>1</v>
      </c>
      <c r="AF35" s="10" t="str">
        <f t="shared" si="0"/>
        <v>SORO SIBIRINAN NICODEME</v>
      </c>
      <c r="AG35" s="65" t="str">
        <f t="shared" si="3"/>
        <v>5/7/2021</v>
      </c>
      <c r="AH35" s="66">
        <f t="shared" si="1"/>
        <v>5</v>
      </c>
      <c r="AI35" s="64">
        <f t="shared" si="2"/>
        <v>0.16666666666666666</v>
      </c>
    </row>
    <row r="36" spans="1:35" s="1" customFormat="1" ht="13.15" customHeight="1">
      <c r="A36" s="57" t="s">
        <v>820</v>
      </c>
      <c r="B36" s="57" t="s">
        <v>820</v>
      </c>
      <c r="C36" s="57" t="s">
        <v>820</v>
      </c>
      <c r="D36" s="57" t="s">
        <v>667</v>
      </c>
      <c r="E36" s="57" t="s">
        <v>668</v>
      </c>
      <c r="F36" s="57" t="s">
        <v>669</v>
      </c>
      <c r="G36" s="57" t="s">
        <v>670</v>
      </c>
      <c r="H36" s="195">
        <v>2.2654000000000001</v>
      </c>
      <c r="I36" s="57" t="s">
        <v>671</v>
      </c>
      <c r="J36" s="57">
        <v>1</v>
      </c>
      <c r="K36" s="58">
        <v>2021</v>
      </c>
      <c r="L36" s="57" t="s">
        <v>821</v>
      </c>
      <c r="M36" s="57" t="s">
        <v>822</v>
      </c>
      <c r="N36" s="57" t="s">
        <v>823</v>
      </c>
      <c r="O36" s="57" t="s">
        <v>824</v>
      </c>
      <c r="P36" s="57" t="s">
        <v>675</v>
      </c>
      <c r="Q36" s="209">
        <v>1975</v>
      </c>
      <c r="R36" s="57">
        <v>5</v>
      </c>
      <c r="S36" s="57"/>
      <c r="T36" s="46"/>
      <c r="U36" s="57"/>
      <c r="V36" s="57"/>
      <c r="W36" s="57"/>
      <c r="X36" s="57">
        <v>0</v>
      </c>
      <c r="Y36" s="58">
        <v>2</v>
      </c>
      <c r="Z36" s="44" t="s">
        <v>676</v>
      </c>
      <c r="AA36" s="45">
        <v>2021</v>
      </c>
      <c r="AB36" s="45">
        <v>7</v>
      </c>
      <c r="AC36" s="45">
        <v>9</v>
      </c>
      <c r="AD36" s="144" t="b">
        <f>IF(ISBLANK(GroupMember[[#This Row],[1. Identifiant interne d’exploitation agricole*]]),"",IF(ISERROR(MATCH(GroupMember[[#This Row],[1. Identifiant interne d’exploitation agricole*]],CertifiedCrop[1. Identifiant interne d’exploitation agricole*],0)),FALSE,TRUE))</f>
        <v>1</v>
      </c>
      <c r="AE36" s="144" t="b">
        <f>IF(ISBLANK(GroupMember[[#This Row],[1. Identifiant interne d’exploitation agricole*]]),"",IF(ISERROR(MATCH(GroupMember[[#This Row],[1. Identifiant interne d’exploitation agricole*]],FarmUnit[1. Identifiant interne d’exploitation agricole*],0)),FALSE,TRUE))</f>
        <v>1</v>
      </c>
      <c r="AF36" s="10" t="str">
        <f t="shared" si="0"/>
        <v>YEHOU DEMISSONGUI</v>
      </c>
      <c r="AG36" s="65" t="str">
        <f t="shared" si="3"/>
        <v>9/7/2021</v>
      </c>
      <c r="AH36" s="66">
        <f t="shared" si="1"/>
        <v>5</v>
      </c>
      <c r="AI36" s="64">
        <f t="shared" si="2"/>
        <v>0.16666666666666666</v>
      </c>
    </row>
    <row r="37" spans="1:35" s="1" customFormat="1" ht="13.15" customHeight="1">
      <c r="A37" s="57" t="s">
        <v>825</v>
      </c>
      <c r="B37" s="57" t="s">
        <v>825</v>
      </c>
      <c r="C37" s="57" t="s">
        <v>825</v>
      </c>
      <c r="D37" s="57" t="s">
        <v>667</v>
      </c>
      <c r="E37" s="57" t="s">
        <v>668</v>
      </c>
      <c r="F37" s="57" t="s">
        <v>669</v>
      </c>
      <c r="G37" s="57" t="s">
        <v>670</v>
      </c>
      <c r="H37" s="195">
        <v>2.9794999999999998</v>
      </c>
      <c r="I37" s="57" t="s">
        <v>671</v>
      </c>
      <c r="J37" s="57">
        <v>1</v>
      </c>
      <c r="K37" s="58">
        <v>2021</v>
      </c>
      <c r="L37" s="57" t="s">
        <v>826</v>
      </c>
      <c r="M37" s="57" t="s">
        <v>827</v>
      </c>
      <c r="N37" s="57" t="s">
        <v>828</v>
      </c>
      <c r="O37" s="57" t="s">
        <v>2475</v>
      </c>
      <c r="P37" s="57" t="s">
        <v>675</v>
      </c>
      <c r="Q37" s="209">
        <v>1951</v>
      </c>
      <c r="R37" s="57">
        <v>6</v>
      </c>
      <c r="S37" s="57"/>
      <c r="T37" s="46"/>
      <c r="U37" s="57"/>
      <c r="V37" s="57"/>
      <c r="W37" s="57"/>
      <c r="X37" s="57">
        <v>0</v>
      </c>
      <c r="Y37" s="58">
        <v>2</v>
      </c>
      <c r="Z37" s="44" t="s">
        <v>676</v>
      </c>
      <c r="AA37" s="45">
        <v>2021</v>
      </c>
      <c r="AB37" s="45">
        <v>7</v>
      </c>
      <c r="AC37" s="45">
        <v>28</v>
      </c>
      <c r="AD37" s="144" t="b">
        <f>IF(ISBLANK(GroupMember[[#This Row],[1. Identifiant interne d’exploitation agricole*]]),"",IF(ISERROR(MATCH(GroupMember[[#This Row],[1. Identifiant interne d’exploitation agricole*]],CertifiedCrop[1. Identifiant interne d’exploitation agricole*],0)),FALSE,TRUE))</f>
        <v>1</v>
      </c>
      <c r="AE37" s="144" t="b">
        <f>IF(ISBLANK(GroupMember[[#This Row],[1. Identifiant interne d’exploitation agricole*]]),"",IF(ISERROR(MATCH(GroupMember[[#This Row],[1. Identifiant interne d’exploitation agricole*]],FarmUnit[1. Identifiant interne d’exploitation agricole*],0)),FALSE,TRUE))</f>
        <v>1</v>
      </c>
      <c r="AF37" s="10" t="str">
        <f t="shared" si="0"/>
        <v>SABA  OUANG0</v>
      </c>
      <c r="AG37" s="65" t="str">
        <f t="shared" si="3"/>
        <v>28/7/2021</v>
      </c>
      <c r="AH37" s="66">
        <f t="shared" si="1"/>
        <v>5</v>
      </c>
      <c r="AI37" s="64">
        <f t="shared" si="2"/>
        <v>0.16666666666666666</v>
      </c>
    </row>
    <row r="38" spans="1:35" s="1" customFormat="1" ht="13.15" customHeight="1">
      <c r="A38" s="57" t="s">
        <v>829</v>
      </c>
      <c r="B38" s="57" t="s">
        <v>829</v>
      </c>
      <c r="C38" s="57" t="s">
        <v>829</v>
      </c>
      <c r="D38" s="57" t="s">
        <v>667</v>
      </c>
      <c r="E38" s="57" t="s">
        <v>668</v>
      </c>
      <c r="F38" s="57" t="s">
        <v>669</v>
      </c>
      <c r="G38" s="57" t="s">
        <v>670</v>
      </c>
      <c r="H38" s="195">
        <v>1.8994</v>
      </c>
      <c r="I38" s="57" t="s">
        <v>671</v>
      </c>
      <c r="J38" s="57">
        <v>1</v>
      </c>
      <c r="K38" s="58">
        <v>2021</v>
      </c>
      <c r="L38" s="57" t="s">
        <v>830</v>
      </c>
      <c r="M38" s="57" t="s">
        <v>831</v>
      </c>
      <c r="N38" s="57" t="s">
        <v>832</v>
      </c>
      <c r="O38" s="57" t="s">
        <v>833</v>
      </c>
      <c r="P38" s="57" t="s">
        <v>675</v>
      </c>
      <c r="Q38" s="209">
        <v>1985</v>
      </c>
      <c r="R38" s="57">
        <v>5</v>
      </c>
      <c r="S38" s="57"/>
      <c r="T38" s="46"/>
      <c r="U38" s="57"/>
      <c r="V38" s="57"/>
      <c r="W38" s="57"/>
      <c r="X38" s="57">
        <v>0</v>
      </c>
      <c r="Y38" s="58">
        <v>2</v>
      </c>
      <c r="Z38" s="44" t="s">
        <v>676</v>
      </c>
      <c r="AA38" s="45">
        <v>2021</v>
      </c>
      <c r="AB38" s="45">
        <v>7</v>
      </c>
      <c r="AC38" s="45">
        <v>19</v>
      </c>
      <c r="AD38" s="144" t="b">
        <f>IF(ISBLANK(GroupMember[[#This Row],[1. Identifiant interne d’exploitation agricole*]]),"",IF(ISERROR(MATCH(GroupMember[[#This Row],[1. Identifiant interne d’exploitation agricole*]],CertifiedCrop[1. Identifiant interne d’exploitation agricole*],0)),FALSE,TRUE))</f>
        <v>1</v>
      </c>
      <c r="AE38" s="144" t="b">
        <f>IF(ISBLANK(GroupMember[[#This Row],[1. Identifiant interne d’exploitation agricole*]]),"",IF(ISERROR(MATCH(GroupMember[[#This Row],[1. Identifiant interne d’exploitation agricole*]],FarmUnit[1. Identifiant interne d’exploitation agricole*],0)),FALSE,TRUE))</f>
        <v>1</v>
      </c>
      <c r="AF38" s="10" t="str">
        <f t="shared" si="0"/>
        <v>SABA RELWINDE</v>
      </c>
      <c r="AG38" s="65" t="str">
        <f t="shared" si="3"/>
        <v>19/7/2021</v>
      </c>
      <c r="AH38" s="66">
        <f t="shared" si="1"/>
        <v>6</v>
      </c>
      <c r="AI38" s="64">
        <f t="shared" si="2"/>
        <v>0.16666666666666666</v>
      </c>
    </row>
    <row r="39" spans="1:35" s="1" customFormat="1" ht="13.15" customHeight="1">
      <c r="A39" s="57" t="s">
        <v>834</v>
      </c>
      <c r="B39" s="57" t="s">
        <v>834</v>
      </c>
      <c r="C39" s="57" t="s">
        <v>834</v>
      </c>
      <c r="D39" s="57" t="s">
        <v>667</v>
      </c>
      <c r="E39" s="57" t="s">
        <v>668</v>
      </c>
      <c r="F39" s="57" t="s">
        <v>669</v>
      </c>
      <c r="G39" s="57" t="s">
        <v>670</v>
      </c>
      <c r="H39" s="195">
        <v>3.9268999999999998</v>
      </c>
      <c r="I39" s="57" t="s">
        <v>671</v>
      </c>
      <c r="J39" s="57">
        <v>1</v>
      </c>
      <c r="K39" s="58">
        <v>2021</v>
      </c>
      <c r="L39" s="57" t="s">
        <v>835</v>
      </c>
      <c r="M39" s="57" t="s">
        <v>774</v>
      </c>
      <c r="N39" s="57" t="s">
        <v>836</v>
      </c>
      <c r="O39" s="57" t="s">
        <v>2476</v>
      </c>
      <c r="P39" s="57" t="s">
        <v>675</v>
      </c>
      <c r="Q39" s="209">
        <v>1989</v>
      </c>
      <c r="R39" s="57">
        <v>7</v>
      </c>
      <c r="S39" s="57"/>
      <c r="T39" s="59"/>
      <c r="U39" s="57"/>
      <c r="V39" s="57"/>
      <c r="W39" s="57"/>
      <c r="X39" s="57">
        <v>0</v>
      </c>
      <c r="Y39" s="58">
        <v>2</v>
      </c>
      <c r="Z39" s="44" t="s">
        <v>676</v>
      </c>
      <c r="AA39" s="45">
        <v>2021</v>
      </c>
      <c r="AB39" s="45">
        <v>7</v>
      </c>
      <c r="AC39" s="45">
        <v>15</v>
      </c>
      <c r="AD39" s="144" t="b">
        <f>IF(ISBLANK(GroupMember[[#This Row],[1. Identifiant interne d’exploitation agricole*]]),"",IF(ISERROR(MATCH(GroupMember[[#This Row],[1. Identifiant interne d’exploitation agricole*]],CertifiedCrop[1. Identifiant interne d’exploitation agricole*],0)),FALSE,TRUE))</f>
        <v>1</v>
      </c>
      <c r="AE39" s="144" t="b">
        <f>IF(ISBLANK(GroupMember[[#This Row],[1. Identifiant interne d’exploitation agricole*]]),"",IF(ISERROR(MATCH(GroupMember[[#This Row],[1. Identifiant interne d’exploitation agricole*]],FarmUnit[1. Identifiant interne d’exploitation agricole*],0)),FALSE,TRUE))</f>
        <v>1</v>
      </c>
      <c r="AF39" s="10" t="str">
        <f t="shared" si="0"/>
        <v>ZORE  MOUMOUNI</v>
      </c>
      <c r="AG39" s="65" t="str">
        <f t="shared" si="3"/>
        <v>15/7/2021</v>
      </c>
      <c r="AH39" s="66">
        <f t="shared" si="1"/>
        <v>6</v>
      </c>
      <c r="AI39" s="64">
        <f t="shared" si="2"/>
        <v>0.16666666666666666</v>
      </c>
    </row>
    <row r="40" spans="1:35" s="1" customFormat="1" ht="13.15" customHeight="1">
      <c r="A40" s="57" t="s">
        <v>837</v>
      </c>
      <c r="B40" s="57" t="s">
        <v>837</v>
      </c>
      <c r="C40" s="57" t="s">
        <v>837</v>
      </c>
      <c r="D40" s="57" t="s">
        <v>667</v>
      </c>
      <c r="E40" s="57" t="s">
        <v>668</v>
      </c>
      <c r="F40" s="57" t="s">
        <v>669</v>
      </c>
      <c r="G40" s="57" t="s">
        <v>670</v>
      </c>
      <c r="H40" s="195">
        <v>4.3453999999999997</v>
      </c>
      <c r="I40" s="57" t="s">
        <v>671</v>
      </c>
      <c r="J40" s="57">
        <v>1</v>
      </c>
      <c r="K40" s="58">
        <v>2021</v>
      </c>
      <c r="L40" s="57" t="s">
        <v>830</v>
      </c>
      <c r="M40" s="57" t="s">
        <v>838</v>
      </c>
      <c r="N40" s="57" t="s">
        <v>839</v>
      </c>
      <c r="O40" s="57" t="s">
        <v>840</v>
      </c>
      <c r="P40" s="57" t="s">
        <v>675</v>
      </c>
      <c r="Q40" s="209">
        <v>1960</v>
      </c>
      <c r="R40" s="57">
        <v>11</v>
      </c>
      <c r="S40" s="57"/>
      <c r="T40" s="59"/>
      <c r="U40" s="57"/>
      <c r="V40" s="57"/>
      <c r="W40" s="57"/>
      <c r="X40" s="57">
        <v>0</v>
      </c>
      <c r="Y40" s="58">
        <v>2</v>
      </c>
      <c r="Z40" s="44" t="s">
        <v>676</v>
      </c>
      <c r="AA40" s="45">
        <v>2021</v>
      </c>
      <c r="AB40" s="45">
        <v>7</v>
      </c>
      <c r="AC40" s="45">
        <v>27</v>
      </c>
      <c r="AD40" s="144" t="b">
        <f>IF(ISBLANK(GroupMember[[#This Row],[1. Identifiant interne d’exploitation agricole*]]),"",IF(ISERROR(MATCH(GroupMember[[#This Row],[1. Identifiant interne d’exploitation agricole*]],CertifiedCrop[1. Identifiant interne d’exploitation agricole*],0)),FALSE,TRUE))</f>
        <v>1</v>
      </c>
      <c r="AE40" s="144" t="b">
        <f>IF(ISBLANK(GroupMember[[#This Row],[1. Identifiant interne d’exploitation agricole*]]),"",IF(ISERROR(MATCH(GroupMember[[#This Row],[1. Identifiant interne d’exploitation agricole*]],FarmUnit[1. Identifiant interne d’exploitation agricole*],0)),FALSE,TRUE))</f>
        <v>1</v>
      </c>
      <c r="AF40" s="10" t="str">
        <f t="shared" si="0"/>
        <v>SABA ZOULADAOGO ADAMA</v>
      </c>
      <c r="AG40" s="65" t="str">
        <f t="shared" si="3"/>
        <v>27/7/2021</v>
      </c>
      <c r="AH40" s="66">
        <f t="shared" si="1"/>
        <v>6</v>
      </c>
      <c r="AI40" s="64">
        <f t="shared" si="2"/>
        <v>0.16666666666666666</v>
      </c>
    </row>
    <row r="41" spans="1:35" s="1" customFormat="1" ht="13.15" customHeight="1">
      <c r="A41" s="57" t="s">
        <v>841</v>
      </c>
      <c r="B41" s="57" t="s">
        <v>841</v>
      </c>
      <c r="C41" s="57" t="s">
        <v>841</v>
      </c>
      <c r="D41" s="57" t="s">
        <v>667</v>
      </c>
      <c r="E41" s="57" t="s">
        <v>668</v>
      </c>
      <c r="F41" s="57" t="s">
        <v>669</v>
      </c>
      <c r="G41" s="57" t="s">
        <v>670</v>
      </c>
      <c r="H41" s="195">
        <v>1.8063</v>
      </c>
      <c r="I41" s="57" t="s">
        <v>671</v>
      </c>
      <c r="J41" s="57">
        <v>1</v>
      </c>
      <c r="K41" s="58">
        <v>2021</v>
      </c>
      <c r="L41" s="57" t="s">
        <v>826</v>
      </c>
      <c r="M41" s="57" t="s">
        <v>842</v>
      </c>
      <c r="N41" s="57" t="s">
        <v>843</v>
      </c>
      <c r="O41" s="57" t="s">
        <v>2477</v>
      </c>
      <c r="P41" s="57" t="s">
        <v>675</v>
      </c>
      <c r="Q41" s="209">
        <v>1998</v>
      </c>
      <c r="R41" s="57">
        <v>5</v>
      </c>
      <c r="S41" s="57"/>
      <c r="T41" s="59"/>
      <c r="U41" s="57"/>
      <c r="V41" s="57"/>
      <c r="W41" s="57"/>
      <c r="X41" s="57">
        <v>0</v>
      </c>
      <c r="Y41" s="58">
        <v>2</v>
      </c>
      <c r="Z41" s="44" t="s">
        <v>676</v>
      </c>
      <c r="AA41" s="45">
        <v>2021</v>
      </c>
      <c r="AB41" s="45">
        <v>7</v>
      </c>
      <c r="AC41" s="45">
        <v>20</v>
      </c>
      <c r="AD41" s="144" t="b">
        <f>IF(ISBLANK(GroupMember[[#This Row],[1. Identifiant interne d’exploitation agricole*]]),"",IF(ISERROR(MATCH(GroupMember[[#This Row],[1. Identifiant interne d’exploitation agricole*]],CertifiedCrop[1. Identifiant interne d’exploitation agricole*],0)),FALSE,TRUE))</f>
        <v>1</v>
      </c>
      <c r="AE41" s="144" t="b">
        <f>IF(ISBLANK(GroupMember[[#This Row],[1. Identifiant interne d’exploitation agricole*]]),"",IF(ISERROR(MATCH(GroupMember[[#This Row],[1. Identifiant interne d’exploitation agricole*]],FarmUnit[1. Identifiant interne d’exploitation agricole*],0)),FALSE,TRUE))</f>
        <v>1</v>
      </c>
      <c r="AF41" s="10" t="str">
        <f t="shared" si="0"/>
        <v>SABA  FRANCOIS</v>
      </c>
      <c r="AG41" s="65" t="str">
        <f t="shared" si="3"/>
        <v>20/7/2021</v>
      </c>
      <c r="AH41" s="66">
        <f t="shared" si="1"/>
        <v>6</v>
      </c>
      <c r="AI41" s="64">
        <f t="shared" si="2"/>
        <v>0.16666666666666666</v>
      </c>
    </row>
    <row r="42" spans="1:35" s="1" customFormat="1" ht="13.15" customHeight="1">
      <c r="A42" s="57" t="s">
        <v>844</v>
      </c>
      <c r="B42" s="57" t="s">
        <v>844</v>
      </c>
      <c r="C42" s="57" t="s">
        <v>844</v>
      </c>
      <c r="D42" s="57" t="s">
        <v>667</v>
      </c>
      <c r="E42" s="57" t="s">
        <v>668</v>
      </c>
      <c r="F42" s="57" t="s">
        <v>669</v>
      </c>
      <c r="G42" s="57" t="s">
        <v>670</v>
      </c>
      <c r="H42" s="195">
        <v>5.1936</v>
      </c>
      <c r="I42" s="57" t="s">
        <v>671</v>
      </c>
      <c r="J42" s="57">
        <v>1</v>
      </c>
      <c r="K42" s="58">
        <v>2021</v>
      </c>
      <c r="L42" s="57" t="s">
        <v>845</v>
      </c>
      <c r="M42" s="57" t="s">
        <v>846</v>
      </c>
      <c r="N42" s="57" t="s">
        <v>847</v>
      </c>
      <c r="O42" s="57" t="s">
        <v>848</v>
      </c>
      <c r="P42" s="57" t="s">
        <v>675</v>
      </c>
      <c r="Q42" s="209">
        <v>1976</v>
      </c>
      <c r="R42" s="57">
        <v>7</v>
      </c>
      <c r="S42" s="57"/>
      <c r="T42" s="59"/>
      <c r="U42" s="57"/>
      <c r="V42" s="57"/>
      <c r="W42" s="57"/>
      <c r="X42" s="57">
        <v>0</v>
      </c>
      <c r="Y42" s="58">
        <v>2</v>
      </c>
      <c r="Z42" s="44" t="s">
        <v>676</v>
      </c>
      <c r="AA42" s="45">
        <v>2021</v>
      </c>
      <c r="AB42" s="45">
        <v>7</v>
      </c>
      <c r="AC42" s="45">
        <v>5</v>
      </c>
      <c r="AD42" s="144" t="b">
        <f>IF(ISBLANK(GroupMember[[#This Row],[1. Identifiant interne d’exploitation agricole*]]),"",IF(ISERROR(MATCH(GroupMember[[#This Row],[1. Identifiant interne d’exploitation agricole*]],CertifiedCrop[1. Identifiant interne d’exploitation agricole*],0)),FALSE,TRUE))</f>
        <v>1</v>
      </c>
      <c r="AE42" s="144" t="b">
        <f>IF(ISBLANK(GroupMember[[#This Row],[1. Identifiant interne d’exploitation agricole*]]),"",IF(ISERROR(MATCH(GroupMember[[#This Row],[1. Identifiant interne d’exploitation agricole*]],FarmUnit[1. Identifiant interne d’exploitation agricole*],0)),FALSE,TRUE))</f>
        <v>1</v>
      </c>
      <c r="AF42" s="10" t="str">
        <f t="shared" si="0"/>
        <v>SABO  SIBIREGMA</v>
      </c>
      <c r="AG42" s="65" t="str">
        <f t="shared" si="3"/>
        <v>5/7/2021</v>
      </c>
      <c r="AH42" s="66">
        <f t="shared" si="1"/>
        <v>5</v>
      </c>
      <c r="AI42" s="64">
        <f t="shared" si="2"/>
        <v>0.16666666666666666</v>
      </c>
    </row>
    <row r="43" spans="1:35" s="1" customFormat="1" ht="13.15" customHeight="1">
      <c r="A43" s="57" t="s">
        <v>849</v>
      </c>
      <c r="B43" s="57" t="s">
        <v>849</v>
      </c>
      <c r="C43" s="57" t="s">
        <v>849</v>
      </c>
      <c r="D43" s="57" t="s">
        <v>667</v>
      </c>
      <c r="E43" s="57" t="s">
        <v>668</v>
      </c>
      <c r="F43" s="57" t="s">
        <v>669</v>
      </c>
      <c r="G43" s="57" t="s">
        <v>670</v>
      </c>
      <c r="H43" s="195">
        <v>5.8034999999999997</v>
      </c>
      <c r="I43" s="57" t="s">
        <v>671</v>
      </c>
      <c r="J43" s="57">
        <v>1</v>
      </c>
      <c r="K43" s="58">
        <v>2021</v>
      </c>
      <c r="L43" s="57" t="s">
        <v>830</v>
      </c>
      <c r="M43" s="57" t="s">
        <v>850</v>
      </c>
      <c r="N43" s="57" t="s">
        <v>851</v>
      </c>
      <c r="O43" s="57" t="s">
        <v>2478</v>
      </c>
      <c r="P43" s="57" t="s">
        <v>675</v>
      </c>
      <c r="Q43" s="209">
        <v>1971</v>
      </c>
      <c r="R43" s="57">
        <v>8</v>
      </c>
      <c r="S43" s="57"/>
      <c r="T43" s="57"/>
      <c r="U43" s="57"/>
      <c r="V43" s="57"/>
      <c r="W43" s="57"/>
      <c r="X43" s="57">
        <v>0</v>
      </c>
      <c r="Y43" s="58">
        <v>2</v>
      </c>
      <c r="Z43" s="44" t="s">
        <v>676</v>
      </c>
      <c r="AA43" s="45">
        <v>2021</v>
      </c>
      <c r="AB43" s="45">
        <v>7</v>
      </c>
      <c r="AC43" s="45">
        <v>30</v>
      </c>
      <c r="AD43" s="144" t="b">
        <f>IF(ISBLANK(GroupMember[[#This Row],[1. Identifiant interne d’exploitation agricole*]]),"",IF(ISERROR(MATCH(GroupMember[[#This Row],[1. Identifiant interne d’exploitation agricole*]],CertifiedCrop[1. Identifiant interne d’exploitation agricole*],0)),FALSE,TRUE))</f>
        <v>1</v>
      </c>
      <c r="AE43" s="144" t="b">
        <f>IF(ISBLANK(GroupMember[[#This Row],[1. Identifiant interne d’exploitation agricole*]]),"",IF(ISERROR(MATCH(GroupMember[[#This Row],[1. Identifiant interne d’exploitation agricole*]],FarmUnit[1. Identifiant interne d’exploitation agricole*],0)),FALSE,TRUE))</f>
        <v>1</v>
      </c>
      <c r="AF43" s="10" t="str">
        <f t="shared" si="0"/>
        <v>SABA RAGA</v>
      </c>
      <c r="AG43" s="65" t="str">
        <f t="shared" si="3"/>
        <v>30/7/2021</v>
      </c>
      <c r="AH43" s="66">
        <f t="shared" si="1"/>
        <v>6</v>
      </c>
      <c r="AI43" s="64">
        <f t="shared" si="2"/>
        <v>0.16666666666666666</v>
      </c>
    </row>
    <row r="44" spans="1:35" s="1" customFormat="1" ht="13.15" customHeight="1">
      <c r="A44" s="57" t="s">
        <v>852</v>
      </c>
      <c r="B44" s="57" t="s">
        <v>852</v>
      </c>
      <c r="C44" s="57" t="s">
        <v>852</v>
      </c>
      <c r="D44" s="57" t="s">
        <v>667</v>
      </c>
      <c r="E44" s="57" t="s">
        <v>668</v>
      </c>
      <c r="F44" s="57" t="s">
        <v>669</v>
      </c>
      <c r="G44" s="57" t="s">
        <v>670</v>
      </c>
      <c r="H44" s="195">
        <v>6.0833000000000004</v>
      </c>
      <c r="I44" s="57" t="s">
        <v>671</v>
      </c>
      <c r="J44" s="57">
        <v>1</v>
      </c>
      <c r="K44" s="58">
        <v>2021</v>
      </c>
      <c r="L44" s="57" t="s">
        <v>830</v>
      </c>
      <c r="M44" s="57" t="s">
        <v>853</v>
      </c>
      <c r="N44" s="57" t="s">
        <v>854</v>
      </c>
      <c r="O44" s="57" t="s">
        <v>855</v>
      </c>
      <c r="P44" s="57" t="s">
        <v>675</v>
      </c>
      <c r="Q44" s="209">
        <v>1967</v>
      </c>
      <c r="R44" s="57">
        <v>5</v>
      </c>
      <c r="S44" s="57"/>
      <c r="T44" s="57"/>
      <c r="U44" s="57"/>
      <c r="V44" s="57"/>
      <c r="W44" s="57"/>
      <c r="X44" s="57">
        <v>0</v>
      </c>
      <c r="Y44" s="58">
        <v>2</v>
      </c>
      <c r="Z44" s="44" t="s">
        <v>676</v>
      </c>
      <c r="AA44" s="45">
        <v>2021</v>
      </c>
      <c r="AB44" s="45">
        <v>7</v>
      </c>
      <c r="AC44" s="45">
        <v>16</v>
      </c>
      <c r="AD44" s="144" t="b">
        <f>IF(ISBLANK(GroupMember[[#This Row],[1. Identifiant interne d’exploitation agricole*]]),"",IF(ISERROR(MATCH(GroupMember[[#This Row],[1. Identifiant interne d’exploitation agricole*]],CertifiedCrop[1. Identifiant interne d’exploitation agricole*],0)),FALSE,TRUE))</f>
        <v>1</v>
      </c>
      <c r="AE44" s="144" t="b">
        <f>IF(ISBLANK(GroupMember[[#This Row],[1. Identifiant interne d’exploitation agricole*]]),"",IF(ISERROR(MATCH(GroupMember[[#This Row],[1. Identifiant interne d’exploitation agricole*]],FarmUnit[1. Identifiant interne d’exploitation agricole*],0)),FALSE,TRUE))</f>
        <v>1</v>
      </c>
      <c r="AF44" s="10" t="str">
        <f t="shared" si="0"/>
        <v>SABA SIBIRI ABDOULAYE</v>
      </c>
      <c r="AG44" s="65" t="str">
        <f t="shared" si="3"/>
        <v>16/7/2021</v>
      </c>
      <c r="AH44" s="66">
        <f t="shared" si="1"/>
        <v>6</v>
      </c>
      <c r="AI44" s="64">
        <f t="shared" si="2"/>
        <v>0.16666666666666666</v>
      </c>
    </row>
    <row r="45" spans="1:35" s="1" customFormat="1" ht="13.15" customHeight="1">
      <c r="A45" s="57" t="s">
        <v>856</v>
      </c>
      <c r="B45" s="57" t="s">
        <v>856</v>
      </c>
      <c r="C45" s="57" t="s">
        <v>856</v>
      </c>
      <c r="D45" s="57" t="s">
        <v>667</v>
      </c>
      <c r="E45" s="57" t="s">
        <v>668</v>
      </c>
      <c r="F45" s="57" t="s">
        <v>669</v>
      </c>
      <c r="G45" s="57" t="s">
        <v>670</v>
      </c>
      <c r="H45" s="195">
        <v>6.7786</v>
      </c>
      <c r="I45" s="57" t="s">
        <v>671</v>
      </c>
      <c r="J45" s="57">
        <v>1</v>
      </c>
      <c r="K45" s="58">
        <v>2021</v>
      </c>
      <c r="L45" s="57" t="s">
        <v>759</v>
      </c>
      <c r="M45" s="57" t="s">
        <v>857</v>
      </c>
      <c r="N45" s="57" t="s">
        <v>858</v>
      </c>
      <c r="O45" s="57" t="s">
        <v>2479</v>
      </c>
      <c r="P45" s="57" t="s">
        <v>675</v>
      </c>
      <c r="Q45" s="209">
        <v>1964</v>
      </c>
      <c r="R45" s="57">
        <v>6</v>
      </c>
      <c r="S45" s="57"/>
      <c r="T45" s="57"/>
      <c r="U45" s="57"/>
      <c r="V45" s="57"/>
      <c r="W45" s="57"/>
      <c r="X45" s="57">
        <v>4</v>
      </c>
      <c r="Y45" s="58">
        <v>6</v>
      </c>
      <c r="Z45" s="44" t="s">
        <v>676</v>
      </c>
      <c r="AA45" s="45">
        <v>2021</v>
      </c>
      <c r="AB45" s="45">
        <v>7</v>
      </c>
      <c r="AC45" s="45">
        <v>27</v>
      </c>
      <c r="AD45" s="144" t="b">
        <f>IF(ISBLANK(GroupMember[[#This Row],[1. Identifiant interne d’exploitation agricole*]]),"",IF(ISERROR(MATCH(GroupMember[[#This Row],[1. Identifiant interne d’exploitation agricole*]],CertifiedCrop[1. Identifiant interne d’exploitation agricole*],0)),FALSE,TRUE))</f>
        <v>1</v>
      </c>
      <c r="AE45" s="144" t="b">
        <f>IF(ISBLANK(GroupMember[[#This Row],[1. Identifiant interne d’exploitation agricole*]]),"",IF(ISERROR(MATCH(GroupMember[[#This Row],[1. Identifiant interne d’exploitation agricole*]],FarmUnit[1. Identifiant interne d’exploitation agricole*],0)),FALSE,TRUE))</f>
        <v>1</v>
      </c>
      <c r="AF45" s="10" t="str">
        <f t="shared" si="0"/>
        <v>RAKISTABA KARZOUM</v>
      </c>
      <c r="AG45" s="65" t="str">
        <f t="shared" si="3"/>
        <v>27/7/2021</v>
      </c>
      <c r="AH45" s="66">
        <f t="shared" si="1"/>
        <v>6</v>
      </c>
      <c r="AI45" s="64">
        <f t="shared" si="2"/>
        <v>4.5</v>
      </c>
    </row>
    <row r="46" spans="1:35" s="1" customFormat="1" ht="13.15" customHeight="1">
      <c r="A46" s="57" t="s">
        <v>859</v>
      </c>
      <c r="B46" s="57" t="s">
        <v>859</v>
      </c>
      <c r="C46" s="57" t="s">
        <v>859</v>
      </c>
      <c r="D46" s="57" t="s">
        <v>667</v>
      </c>
      <c r="E46" s="57" t="s">
        <v>668</v>
      </c>
      <c r="F46" s="57" t="s">
        <v>669</v>
      </c>
      <c r="G46" s="57" t="s">
        <v>670</v>
      </c>
      <c r="H46" s="195">
        <v>3.0571999999999999</v>
      </c>
      <c r="I46" s="57" t="s">
        <v>671</v>
      </c>
      <c r="J46" s="57">
        <v>1</v>
      </c>
      <c r="K46" s="58">
        <v>2021</v>
      </c>
      <c r="L46" s="57" t="s">
        <v>830</v>
      </c>
      <c r="M46" s="57" t="s">
        <v>684</v>
      </c>
      <c r="N46" s="57" t="s">
        <v>860</v>
      </c>
      <c r="O46" s="57" t="s">
        <v>861</v>
      </c>
      <c r="P46" s="57" t="s">
        <v>675</v>
      </c>
      <c r="Q46" s="209">
        <v>1980</v>
      </c>
      <c r="R46" s="57">
        <v>5</v>
      </c>
      <c r="S46" s="57"/>
      <c r="T46" s="57"/>
      <c r="U46" s="57"/>
      <c r="V46" s="57"/>
      <c r="W46" s="57"/>
      <c r="X46" s="57">
        <v>0</v>
      </c>
      <c r="Y46" s="58">
        <v>2</v>
      </c>
      <c r="Z46" s="44" t="s">
        <v>676</v>
      </c>
      <c r="AA46" s="45">
        <v>2021</v>
      </c>
      <c r="AB46" s="45">
        <v>7</v>
      </c>
      <c r="AC46" s="45">
        <v>8</v>
      </c>
      <c r="AD46" s="144" t="b">
        <f>IF(ISBLANK(GroupMember[[#This Row],[1. Identifiant interne d’exploitation agricole*]]),"",IF(ISERROR(MATCH(GroupMember[[#This Row],[1. Identifiant interne d’exploitation agricole*]],CertifiedCrop[1. Identifiant interne d’exploitation agricole*],0)),FALSE,TRUE))</f>
        <v>1</v>
      </c>
      <c r="AE46" s="144" t="b">
        <f>IF(ISBLANK(GroupMember[[#This Row],[1. Identifiant interne d’exploitation agricole*]]),"",IF(ISERROR(MATCH(GroupMember[[#This Row],[1. Identifiant interne d’exploitation agricole*]],FarmUnit[1. Identifiant interne d’exploitation agricole*],0)),FALSE,TRUE))</f>
        <v>1</v>
      </c>
      <c r="AF46" s="10" t="str">
        <f t="shared" si="0"/>
        <v>SABA MOUSSA</v>
      </c>
      <c r="AG46" s="65" t="str">
        <f t="shared" si="3"/>
        <v>8/7/2021</v>
      </c>
      <c r="AH46" s="66">
        <f t="shared" si="1"/>
        <v>6</v>
      </c>
      <c r="AI46" s="64">
        <f t="shared" si="2"/>
        <v>0.16666666666666666</v>
      </c>
    </row>
    <row r="47" spans="1:35" s="1" customFormat="1" ht="13.15" customHeight="1">
      <c r="A47" s="57" t="s">
        <v>862</v>
      </c>
      <c r="B47" s="57" t="s">
        <v>862</v>
      </c>
      <c r="C47" s="57" t="s">
        <v>862</v>
      </c>
      <c r="D47" s="57" t="s">
        <v>667</v>
      </c>
      <c r="E47" s="57" t="s">
        <v>668</v>
      </c>
      <c r="F47" s="57" t="s">
        <v>669</v>
      </c>
      <c r="G47" s="57" t="s">
        <v>670</v>
      </c>
      <c r="H47" s="195">
        <v>5.9996999999999998</v>
      </c>
      <c r="I47" s="57" t="s">
        <v>671</v>
      </c>
      <c r="J47" s="57">
        <v>1</v>
      </c>
      <c r="K47" s="58">
        <v>2021</v>
      </c>
      <c r="L47" s="57" t="s">
        <v>778</v>
      </c>
      <c r="M47" s="57" t="s">
        <v>863</v>
      </c>
      <c r="N47" s="57" t="s">
        <v>864</v>
      </c>
      <c r="O47" s="57" t="s">
        <v>865</v>
      </c>
      <c r="P47" s="57" t="s">
        <v>675</v>
      </c>
      <c r="Q47" s="209">
        <v>1979</v>
      </c>
      <c r="R47" s="57">
        <v>9</v>
      </c>
      <c r="S47" s="57"/>
      <c r="T47" s="57"/>
      <c r="U47" s="57"/>
      <c r="V47" s="57"/>
      <c r="W47" s="57"/>
      <c r="X47" s="57">
        <v>0</v>
      </c>
      <c r="Y47" s="58">
        <v>2</v>
      </c>
      <c r="Z47" s="44" t="s">
        <v>676</v>
      </c>
      <c r="AA47" s="45">
        <v>2021</v>
      </c>
      <c r="AB47" s="45">
        <v>7</v>
      </c>
      <c r="AC47" s="45">
        <v>23</v>
      </c>
      <c r="AD47" s="144" t="b">
        <f>IF(ISBLANK(GroupMember[[#This Row],[1. Identifiant interne d’exploitation agricole*]]),"",IF(ISERROR(MATCH(GroupMember[[#This Row],[1. Identifiant interne d’exploitation agricole*]],CertifiedCrop[1. Identifiant interne d’exploitation agricole*],0)),FALSE,TRUE))</f>
        <v>1</v>
      </c>
      <c r="AE47" s="144" t="b">
        <f>IF(ISBLANK(GroupMember[[#This Row],[1. Identifiant interne d’exploitation agricole*]]),"",IF(ISERROR(MATCH(GroupMember[[#This Row],[1. Identifiant interne d’exploitation agricole*]],FarmUnit[1. Identifiant interne d’exploitation agricole*],0)),FALSE,TRUE))</f>
        <v>1</v>
      </c>
      <c r="AF47" s="10" t="str">
        <f t="shared" si="0"/>
        <v>HIEN MANDJIDE</v>
      </c>
      <c r="AG47" s="65" t="str">
        <f t="shared" si="3"/>
        <v>23/7/2021</v>
      </c>
      <c r="AH47" s="66">
        <f t="shared" si="1"/>
        <v>5</v>
      </c>
      <c r="AI47" s="64">
        <f t="shared" si="2"/>
        <v>0.16666666666666666</v>
      </c>
    </row>
    <row r="48" spans="1:35" s="1" customFormat="1" ht="13.15" customHeight="1">
      <c r="A48" s="57" t="s">
        <v>866</v>
      </c>
      <c r="B48" s="57" t="s">
        <v>866</v>
      </c>
      <c r="C48" s="57" t="s">
        <v>866</v>
      </c>
      <c r="D48" s="57" t="s">
        <v>667</v>
      </c>
      <c r="E48" s="57" t="s">
        <v>668</v>
      </c>
      <c r="F48" s="57" t="s">
        <v>669</v>
      </c>
      <c r="G48" s="57" t="s">
        <v>670</v>
      </c>
      <c r="H48" s="195">
        <v>1.7147999999999999</v>
      </c>
      <c r="I48" s="57" t="s">
        <v>671</v>
      </c>
      <c r="J48" s="57">
        <v>1</v>
      </c>
      <c r="K48" s="58">
        <v>2021</v>
      </c>
      <c r="L48" s="57" t="s">
        <v>749</v>
      </c>
      <c r="M48" s="57" t="s">
        <v>867</v>
      </c>
      <c r="N48" s="57" t="s">
        <v>868</v>
      </c>
      <c r="O48" s="57" t="s">
        <v>1839</v>
      </c>
      <c r="P48" s="57" t="s">
        <v>675</v>
      </c>
      <c r="Q48" s="209">
        <v>1991</v>
      </c>
      <c r="R48" s="57">
        <v>4</v>
      </c>
      <c r="S48" s="57"/>
      <c r="T48" s="57"/>
      <c r="U48" s="57"/>
      <c r="V48" s="57"/>
      <c r="W48" s="57"/>
      <c r="X48" s="57">
        <v>0</v>
      </c>
      <c r="Y48" s="58">
        <v>2</v>
      </c>
      <c r="Z48" s="44" t="s">
        <v>676</v>
      </c>
      <c r="AA48" s="45">
        <v>2021</v>
      </c>
      <c r="AB48" s="45">
        <v>7</v>
      </c>
      <c r="AC48" s="45">
        <v>30</v>
      </c>
      <c r="AD48" s="144" t="b">
        <f>IF(ISBLANK(GroupMember[[#This Row],[1. Identifiant interne d’exploitation agricole*]]),"",IF(ISERROR(MATCH(GroupMember[[#This Row],[1. Identifiant interne d’exploitation agricole*]],CertifiedCrop[1. Identifiant interne d’exploitation agricole*],0)),FALSE,TRUE))</f>
        <v>1</v>
      </c>
      <c r="AE48" s="144" t="b">
        <f>IF(ISBLANK(GroupMember[[#This Row],[1. Identifiant interne d’exploitation agricole*]]),"",IF(ISERROR(MATCH(GroupMember[[#This Row],[1. Identifiant interne d’exploitation agricole*]],FarmUnit[1. Identifiant interne d’exploitation agricole*],0)),FALSE,TRUE))</f>
        <v>1</v>
      </c>
      <c r="AF48" s="10" t="str">
        <f t="shared" si="0"/>
        <v>SAWADOGO  LAMINE</v>
      </c>
      <c r="AG48" s="65" t="str">
        <f t="shared" si="3"/>
        <v>30/7/2021</v>
      </c>
      <c r="AH48" s="66">
        <f t="shared" si="1"/>
        <v>6</v>
      </c>
      <c r="AI48" s="64">
        <f t="shared" si="2"/>
        <v>0.16666666666666666</v>
      </c>
    </row>
    <row r="49" spans="1:35" s="1" customFormat="1" ht="13.15" customHeight="1">
      <c r="A49" s="57" t="s">
        <v>869</v>
      </c>
      <c r="B49" s="57" t="s">
        <v>869</v>
      </c>
      <c r="C49" s="57" t="s">
        <v>869</v>
      </c>
      <c r="D49" s="57" t="s">
        <v>667</v>
      </c>
      <c r="E49" s="57" t="s">
        <v>668</v>
      </c>
      <c r="F49" s="57" t="s">
        <v>669</v>
      </c>
      <c r="G49" s="57" t="s">
        <v>670</v>
      </c>
      <c r="H49" s="195">
        <v>3.8917999999999999</v>
      </c>
      <c r="I49" s="57" t="s">
        <v>671</v>
      </c>
      <c r="J49" s="57">
        <v>1</v>
      </c>
      <c r="K49" s="58">
        <v>2021</v>
      </c>
      <c r="L49" s="57" t="s">
        <v>749</v>
      </c>
      <c r="M49" s="57" t="s">
        <v>870</v>
      </c>
      <c r="N49" s="57" t="s">
        <v>871</v>
      </c>
      <c r="O49" s="57" t="s">
        <v>2480</v>
      </c>
      <c r="P49" s="57" t="s">
        <v>675</v>
      </c>
      <c r="Q49" s="209">
        <v>1995</v>
      </c>
      <c r="R49" s="57">
        <v>3</v>
      </c>
      <c r="S49" s="57"/>
      <c r="T49" s="57"/>
      <c r="U49" s="57"/>
      <c r="V49" s="57"/>
      <c r="W49" s="57"/>
      <c r="X49" s="57">
        <v>0</v>
      </c>
      <c r="Y49" s="58">
        <v>2</v>
      </c>
      <c r="Z49" s="44" t="s">
        <v>676</v>
      </c>
      <c r="AA49" s="45">
        <v>2021</v>
      </c>
      <c r="AB49" s="45">
        <v>7</v>
      </c>
      <c r="AC49" s="45">
        <v>9</v>
      </c>
      <c r="AD49" s="144" t="b">
        <f>IF(ISBLANK(GroupMember[[#This Row],[1. Identifiant interne d’exploitation agricole*]]),"",IF(ISERROR(MATCH(GroupMember[[#This Row],[1. Identifiant interne d’exploitation agricole*]],CertifiedCrop[1. Identifiant interne d’exploitation agricole*],0)),FALSE,TRUE))</f>
        <v>1</v>
      </c>
      <c r="AE49" s="144" t="b">
        <f>IF(ISBLANK(GroupMember[[#This Row],[1. Identifiant interne d’exploitation agricole*]]),"",IF(ISERROR(MATCH(GroupMember[[#This Row],[1. Identifiant interne d’exploitation agricole*]],FarmUnit[1. Identifiant interne d’exploitation agricole*],0)),FALSE,TRUE))</f>
        <v>1</v>
      </c>
      <c r="AF49" s="10" t="str">
        <f t="shared" si="0"/>
        <v>SAWADOGO  THEODORE</v>
      </c>
      <c r="AG49" s="65" t="str">
        <f t="shared" si="3"/>
        <v>9/7/2021</v>
      </c>
      <c r="AH49" s="66">
        <f t="shared" si="1"/>
        <v>5</v>
      </c>
      <c r="AI49" s="64">
        <f t="shared" si="2"/>
        <v>0.16666666666666666</v>
      </c>
    </row>
    <row r="50" spans="1:35" s="1" customFormat="1" ht="13.15" customHeight="1">
      <c r="A50" s="57" t="s">
        <v>872</v>
      </c>
      <c r="B50" s="57" t="s">
        <v>872</v>
      </c>
      <c r="C50" s="57" t="s">
        <v>872</v>
      </c>
      <c r="D50" s="57" t="s">
        <v>667</v>
      </c>
      <c r="E50" s="57" t="s">
        <v>668</v>
      </c>
      <c r="F50" s="57" t="s">
        <v>669</v>
      </c>
      <c r="G50" s="57" t="s">
        <v>670</v>
      </c>
      <c r="H50" s="195">
        <v>3.3153000000000001</v>
      </c>
      <c r="I50" s="57" t="s">
        <v>671</v>
      </c>
      <c r="J50" s="57">
        <v>1</v>
      </c>
      <c r="K50" s="58">
        <v>2021</v>
      </c>
      <c r="L50" s="57" t="s">
        <v>873</v>
      </c>
      <c r="M50" s="57" t="s">
        <v>874</v>
      </c>
      <c r="N50" s="57" t="s">
        <v>875</v>
      </c>
      <c r="O50" s="57" t="s">
        <v>876</v>
      </c>
      <c r="P50" s="57" t="s">
        <v>675</v>
      </c>
      <c r="Q50" s="209">
        <v>1975</v>
      </c>
      <c r="R50" s="57">
        <v>7</v>
      </c>
      <c r="S50" s="57"/>
      <c r="T50" s="57"/>
      <c r="U50" s="57"/>
      <c r="V50" s="57"/>
      <c r="W50" s="57"/>
      <c r="X50" s="57">
        <v>0</v>
      </c>
      <c r="Y50" s="58">
        <v>2</v>
      </c>
      <c r="Z50" s="44" t="s">
        <v>676</v>
      </c>
      <c r="AA50" s="45">
        <v>2021</v>
      </c>
      <c r="AB50" s="45">
        <v>7</v>
      </c>
      <c r="AC50" s="45">
        <v>28</v>
      </c>
      <c r="AD50" s="145" t="b">
        <f>IF(ISBLANK(GroupMember[[#This Row],[1. Identifiant interne d’exploitation agricole*]]),"",IF(ISERROR(MATCH(GroupMember[[#This Row],[1. Identifiant interne d’exploitation agricole*]],CertifiedCrop[1. Identifiant interne d’exploitation agricole*],0)),FALSE,TRUE))</f>
        <v>1</v>
      </c>
      <c r="AE50" s="145" t="b">
        <f>IF(ISBLANK(GroupMember[[#This Row],[1. Identifiant interne d’exploitation agricole*]]),"",IF(ISERROR(MATCH(GroupMember[[#This Row],[1. Identifiant interne d’exploitation agricole*]],FarmUnit[1. Identifiant interne d’exploitation agricole*],0)),FALSE,TRUE))</f>
        <v>1</v>
      </c>
      <c r="AF50" s="10" t="str">
        <f t="shared" si="0"/>
        <v>DAH  KEMPOHITE</v>
      </c>
      <c r="AG50" s="65" t="str">
        <f t="shared" si="3"/>
        <v>28/7/2021</v>
      </c>
      <c r="AH50" s="66">
        <f t="shared" si="1"/>
        <v>5</v>
      </c>
      <c r="AI50" s="64">
        <f t="shared" si="2"/>
        <v>0.16666666666666666</v>
      </c>
    </row>
    <row r="51" spans="1:35" ht="15">
      <c r="A51" s="170" t="s">
        <v>877</v>
      </c>
      <c r="B51" s="171" t="s">
        <v>877</v>
      </c>
      <c r="C51" s="171" t="s">
        <v>877</v>
      </c>
      <c r="D51" s="171" t="s">
        <v>667</v>
      </c>
      <c r="E51" s="171" t="s">
        <v>668</v>
      </c>
      <c r="F51" s="171" t="s">
        <v>669</v>
      </c>
      <c r="G51" s="171" t="s">
        <v>670</v>
      </c>
      <c r="H51" s="195">
        <v>3.0451000000000001</v>
      </c>
      <c r="I51" s="171" t="s">
        <v>671</v>
      </c>
      <c r="J51" s="57">
        <v>1</v>
      </c>
      <c r="K51" s="172">
        <v>2021</v>
      </c>
      <c r="L51" s="173" t="s">
        <v>878</v>
      </c>
      <c r="M51" s="173" t="s">
        <v>879</v>
      </c>
      <c r="N51" s="174" t="s">
        <v>880</v>
      </c>
      <c r="O51" s="171" t="s">
        <v>2481</v>
      </c>
      <c r="P51" s="171" t="s">
        <v>675</v>
      </c>
      <c r="Q51" s="209">
        <v>1985</v>
      </c>
      <c r="R51" s="171">
        <v>4</v>
      </c>
      <c r="S51" s="171"/>
      <c r="T51" s="173"/>
      <c r="U51" s="171"/>
      <c r="V51" s="171"/>
      <c r="W51" s="171"/>
      <c r="X51" s="57">
        <v>0</v>
      </c>
      <c r="Y51" s="172">
        <v>2</v>
      </c>
      <c r="Z51" s="175" t="s">
        <v>676</v>
      </c>
      <c r="AA51" s="176">
        <v>2021</v>
      </c>
      <c r="AB51" s="176">
        <v>7</v>
      </c>
      <c r="AC51" s="176">
        <v>5</v>
      </c>
      <c r="AD51" s="177" t="b">
        <f>IF(ISBLANK(GroupMember[[#This Row],[1. Identifiant interne d’exploitation agricole*]]),"",IF(ISERROR(MATCH(GroupMember[[#This Row],[1. Identifiant interne d’exploitation agricole*]],CertifiedCrop[1. Identifiant interne d’exploitation agricole*],0)),FALSE,TRUE))</f>
        <v>1</v>
      </c>
      <c r="AE51" s="177" t="b">
        <f>IF(ISBLANK(GroupMember[[#This Row],[1. Identifiant interne d’exploitation agricole*]]),"",IF(ISERROR(MATCH(GroupMember[[#This Row],[1. Identifiant interne d’exploitation agricole*]],FarmUnit[1. Identifiant interne d’exploitation agricole*],0)),FALSE,TRUE))</f>
        <v>1</v>
      </c>
      <c r="AF51" s="178" t="str">
        <f t="shared" ref="AF51:AF114" si="4">IFERROR(CONCATENATE(L51," ",M51),"")</f>
        <v>ZERBO  ISSAKA</v>
      </c>
      <c r="AG51" s="179" t="str">
        <f t="shared" ref="AG51:AG114" si="5">CONCATENATE(AC51,"/",AB51,"/",AA51)</f>
        <v>5/7/2021</v>
      </c>
      <c r="AH51" s="180">
        <f t="shared" si="1"/>
        <v>5</v>
      </c>
      <c r="AI51" s="181">
        <f t="shared" ref="AI51:AI114" si="6">IF((X51+Y51/12)&lt;0,"",(X51+Y51/12))</f>
        <v>0.16666666666666666</v>
      </c>
    </row>
    <row r="52" spans="1:35" ht="15">
      <c r="A52" s="170" t="s">
        <v>881</v>
      </c>
      <c r="B52" s="171" t="s">
        <v>881</v>
      </c>
      <c r="C52" s="171" t="s">
        <v>881</v>
      </c>
      <c r="D52" s="171" t="s">
        <v>667</v>
      </c>
      <c r="E52" s="171" t="s">
        <v>668</v>
      </c>
      <c r="F52" s="171" t="s">
        <v>669</v>
      </c>
      <c r="G52" s="171" t="s">
        <v>670</v>
      </c>
      <c r="H52" s="195">
        <v>6.0892999999999997</v>
      </c>
      <c r="I52" s="171" t="s">
        <v>671</v>
      </c>
      <c r="J52" s="57">
        <v>1</v>
      </c>
      <c r="K52" s="172">
        <v>2021</v>
      </c>
      <c r="L52" s="173" t="s">
        <v>882</v>
      </c>
      <c r="M52" s="173" t="s">
        <v>883</v>
      </c>
      <c r="N52" s="174" t="s">
        <v>884</v>
      </c>
      <c r="O52" s="57" t="s">
        <v>2484</v>
      </c>
      <c r="P52" s="171" t="s">
        <v>675</v>
      </c>
      <c r="Q52" s="209">
        <v>1987</v>
      </c>
      <c r="R52" s="171">
        <v>6</v>
      </c>
      <c r="S52" s="171"/>
      <c r="T52" s="173"/>
      <c r="U52" s="171"/>
      <c r="V52" s="171"/>
      <c r="W52" s="171"/>
      <c r="X52" s="57">
        <v>0</v>
      </c>
      <c r="Y52" s="172">
        <v>2</v>
      </c>
      <c r="Z52" s="175" t="s">
        <v>676</v>
      </c>
      <c r="AA52" s="176">
        <v>2021</v>
      </c>
      <c r="AB52" s="176">
        <v>7</v>
      </c>
      <c r="AC52" s="176">
        <v>26</v>
      </c>
      <c r="AD52" s="177" t="b">
        <f>IF(ISBLANK(GroupMember[[#This Row],[1. Identifiant interne d’exploitation agricole*]]),"",IF(ISERROR(MATCH(GroupMember[[#This Row],[1. Identifiant interne d’exploitation agricole*]],CertifiedCrop[1. Identifiant interne d’exploitation agricole*],0)),FALSE,TRUE))</f>
        <v>1</v>
      </c>
      <c r="AE52" s="177" t="b">
        <f>IF(ISBLANK(GroupMember[[#This Row],[1. Identifiant interne d’exploitation agricole*]]),"",IF(ISERROR(MATCH(GroupMember[[#This Row],[1. Identifiant interne d’exploitation agricole*]],FarmUnit[1. Identifiant interne d’exploitation agricole*],0)),FALSE,TRUE))</f>
        <v>1</v>
      </c>
      <c r="AF52" s="178" t="str">
        <f t="shared" si="4"/>
        <v>PERCOMA LASSO</v>
      </c>
      <c r="AG52" s="179" t="str">
        <f t="shared" si="5"/>
        <v>26/7/2021</v>
      </c>
      <c r="AH52" s="180">
        <f t="shared" si="1"/>
        <v>5</v>
      </c>
      <c r="AI52" s="181">
        <f t="shared" si="6"/>
        <v>0.16666666666666666</v>
      </c>
    </row>
    <row r="53" spans="1:35" ht="15">
      <c r="A53" s="170" t="s">
        <v>885</v>
      </c>
      <c r="B53" s="171" t="s">
        <v>885</v>
      </c>
      <c r="C53" s="171" t="s">
        <v>885</v>
      </c>
      <c r="D53" s="171" t="s">
        <v>667</v>
      </c>
      <c r="E53" s="171" t="s">
        <v>668</v>
      </c>
      <c r="F53" s="171" t="s">
        <v>669</v>
      </c>
      <c r="G53" s="171" t="s">
        <v>670</v>
      </c>
      <c r="H53" s="195">
        <v>3.6522000000000001</v>
      </c>
      <c r="I53" s="171" t="s">
        <v>671</v>
      </c>
      <c r="J53" s="57">
        <v>1</v>
      </c>
      <c r="K53" s="172">
        <v>2021</v>
      </c>
      <c r="L53" s="173" t="s">
        <v>886</v>
      </c>
      <c r="M53" s="173" t="s">
        <v>887</v>
      </c>
      <c r="N53" s="174" t="s">
        <v>888</v>
      </c>
      <c r="O53" s="171" t="s">
        <v>2482</v>
      </c>
      <c r="P53" s="171" t="s">
        <v>675</v>
      </c>
      <c r="Q53" s="209">
        <v>1975</v>
      </c>
      <c r="R53" s="171">
        <v>9</v>
      </c>
      <c r="S53" s="171"/>
      <c r="T53" s="173"/>
      <c r="U53" s="171"/>
      <c r="V53" s="171"/>
      <c r="W53" s="171"/>
      <c r="X53" s="57">
        <v>0</v>
      </c>
      <c r="Y53" s="172">
        <v>2</v>
      </c>
      <c r="Z53" s="175" t="s">
        <v>676</v>
      </c>
      <c r="AA53" s="176">
        <v>2021</v>
      </c>
      <c r="AB53" s="176">
        <v>7</v>
      </c>
      <c r="AC53" s="176">
        <v>23</v>
      </c>
      <c r="AD53" s="177" t="b">
        <f>IF(ISBLANK(GroupMember[[#This Row],[1. Identifiant interne d’exploitation agricole*]]),"",IF(ISERROR(MATCH(GroupMember[[#This Row],[1. Identifiant interne d’exploitation agricole*]],CertifiedCrop[1. Identifiant interne d’exploitation agricole*],0)),FALSE,TRUE))</f>
        <v>1</v>
      </c>
      <c r="AE53" s="177" t="b">
        <f>IF(ISBLANK(GroupMember[[#This Row],[1. Identifiant interne d’exploitation agricole*]]),"",IF(ISERROR(MATCH(GroupMember[[#This Row],[1. Identifiant interne d’exploitation agricole*]],FarmUnit[1. Identifiant interne d’exploitation agricole*],0)),FALSE,TRUE))</f>
        <v>1</v>
      </c>
      <c r="AF53" s="178" t="str">
        <f t="shared" si="4"/>
        <v>DJENI  NOUFOU</v>
      </c>
      <c r="AG53" s="179" t="str">
        <f t="shared" si="5"/>
        <v>23/7/2021</v>
      </c>
      <c r="AH53" s="180">
        <f t="shared" si="1"/>
        <v>5</v>
      </c>
      <c r="AI53" s="181">
        <f t="shared" si="6"/>
        <v>0.16666666666666666</v>
      </c>
    </row>
    <row r="54" spans="1:35" ht="15">
      <c r="A54" s="170" t="s">
        <v>889</v>
      </c>
      <c r="B54" s="171" t="s">
        <v>889</v>
      </c>
      <c r="C54" s="171" t="s">
        <v>889</v>
      </c>
      <c r="D54" s="171" t="s">
        <v>667</v>
      </c>
      <c r="E54" s="171" t="s">
        <v>668</v>
      </c>
      <c r="F54" s="171" t="s">
        <v>669</v>
      </c>
      <c r="G54" s="171" t="s">
        <v>670</v>
      </c>
      <c r="H54" s="195">
        <v>4.8014999999999999</v>
      </c>
      <c r="I54" s="171" t="s">
        <v>671</v>
      </c>
      <c r="J54" s="57">
        <v>1</v>
      </c>
      <c r="K54" s="172">
        <v>2021</v>
      </c>
      <c r="L54" s="173" t="s">
        <v>890</v>
      </c>
      <c r="M54" s="173" t="s">
        <v>891</v>
      </c>
      <c r="N54" s="174" t="s">
        <v>892</v>
      </c>
      <c r="O54" s="171" t="s">
        <v>2483</v>
      </c>
      <c r="P54" s="171" t="s">
        <v>675</v>
      </c>
      <c r="Q54" s="209">
        <v>1987</v>
      </c>
      <c r="R54" s="171">
        <v>3</v>
      </c>
      <c r="S54" s="171"/>
      <c r="T54" s="173"/>
      <c r="U54" s="171"/>
      <c r="V54" s="171"/>
      <c r="W54" s="171"/>
      <c r="X54" s="57">
        <v>0</v>
      </c>
      <c r="Y54" s="172">
        <v>2</v>
      </c>
      <c r="Z54" s="175" t="s">
        <v>676</v>
      </c>
      <c r="AA54" s="176">
        <v>2021</v>
      </c>
      <c r="AB54" s="176">
        <v>7</v>
      </c>
      <c r="AC54" s="176">
        <v>13</v>
      </c>
      <c r="AD54" s="177" t="b">
        <f>IF(ISBLANK(GroupMember[[#This Row],[1. Identifiant interne d’exploitation agricole*]]),"",IF(ISERROR(MATCH(GroupMember[[#This Row],[1. Identifiant interne d’exploitation agricole*]],CertifiedCrop[1. Identifiant interne d’exploitation agricole*],0)),FALSE,TRUE))</f>
        <v>1</v>
      </c>
      <c r="AE54" s="177" t="b">
        <f>IF(ISBLANK(GroupMember[[#This Row],[1. Identifiant interne d’exploitation agricole*]]),"",IF(ISERROR(MATCH(GroupMember[[#This Row],[1. Identifiant interne d’exploitation agricole*]],FarmUnit[1. Identifiant interne d’exploitation agricole*],0)),FALSE,TRUE))</f>
        <v>1</v>
      </c>
      <c r="AF54" s="178" t="str">
        <f t="shared" si="4"/>
        <v>PAGBELEM JOEL</v>
      </c>
      <c r="AG54" s="179" t="str">
        <f t="shared" si="5"/>
        <v>13/7/2021</v>
      </c>
      <c r="AH54" s="180">
        <f t="shared" si="1"/>
        <v>6</v>
      </c>
      <c r="AI54" s="181">
        <f t="shared" si="6"/>
        <v>0.16666666666666666</v>
      </c>
    </row>
    <row r="55" spans="1:35" ht="15">
      <c r="A55" s="170" t="s">
        <v>893</v>
      </c>
      <c r="B55" s="171" t="s">
        <v>893</v>
      </c>
      <c r="C55" s="171" t="s">
        <v>893</v>
      </c>
      <c r="D55" s="171" t="s">
        <v>667</v>
      </c>
      <c r="E55" s="171" t="s">
        <v>668</v>
      </c>
      <c r="F55" s="171" t="s">
        <v>669</v>
      </c>
      <c r="G55" s="171" t="s">
        <v>670</v>
      </c>
      <c r="H55" s="195">
        <v>2.6071999999999997</v>
      </c>
      <c r="I55" s="171" t="s">
        <v>671</v>
      </c>
      <c r="J55" s="57">
        <v>1</v>
      </c>
      <c r="K55" s="172">
        <v>2021</v>
      </c>
      <c r="L55" s="173" t="s">
        <v>890</v>
      </c>
      <c r="M55" s="173" t="s">
        <v>894</v>
      </c>
      <c r="N55" s="174" t="s">
        <v>895</v>
      </c>
      <c r="O55" s="171" t="s">
        <v>896</v>
      </c>
      <c r="P55" s="171" t="s">
        <v>675</v>
      </c>
      <c r="Q55" s="209">
        <v>1995</v>
      </c>
      <c r="R55" s="171">
        <v>1</v>
      </c>
      <c r="S55" s="171"/>
      <c r="T55" s="173"/>
      <c r="U55" s="171"/>
      <c r="V55" s="171"/>
      <c r="W55" s="171"/>
      <c r="X55" s="57">
        <v>0</v>
      </c>
      <c r="Y55" s="172">
        <v>2</v>
      </c>
      <c r="Z55" s="175" t="s">
        <v>676</v>
      </c>
      <c r="AA55" s="176">
        <v>2021</v>
      </c>
      <c r="AB55" s="176">
        <v>8</v>
      </c>
      <c r="AC55" s="176">
        <v>3</v>
      </c>
      <c r="AD55" s="177" t="b">
        <f>IF(ISBLANK(GroupMember[[#This Row],[1. Identifiant interne d’exploitation agricole*]]),"",IF(ISERROR(MATCH(GroupMember[[#This Row],[1. Identifiant interne d’exploitation agricole*]],CertifiedCrop[1. Identifiant interne d’exploitation agricole*],0)),FALSE,TRUE))</f>
        <v>1</v>
      </c>
      <c r="AE55" s="177" t="b">
        <f>IF(ISBLANK(GroupMember[[#This Row],[1. Identifiant interne d’exploitation agricole*]]),"",IF(ISERROR(MATCH(GroupMember[[#This Row],[1. Identifiant interne d’exploitation agricole*]],FarmUnit[1. Identifiant interne d’exploitation agricole*],0)),FALSE,TRUE))</f>
        <v>1</v>
      </c>
      <c r="AF55" s="178" t="str">
        <f t="shared" si="4"/>
        <v>PAGBELEM ALAIN</v>
      </c>
      <c r="AG55" s="179" t="str">
        <f t="shared" si="5"/>
        <v>3/8/2021</v>
      </c>
      <c r="AH55" s="180">
        <f t="shared" si="1"/>
        <v>6</v>
      </c>
      <c r="AI55" s="181">
        <f t="shared" si="6"/>
        <v>0.16666666666666666</v>
      </c>
    </row>
    <row r="56" spans="1:35" ht="15">
      <c r="A56" s="170" t="s">
        <v>897</v>
      </c>
      <c r="B56" s="171" t="s">
        <v>897</v>
      </c>
      <c r="C56" s="171" t="s">
        <v>897</v>
      </c>
      <c r="D56" s="171" t="s">
        <v>667</v>
      </c>
      <c r="E56" s="171" t="s">
        <v>668</v>
      </c>
      <c r="F56" s="171" t="s">
        <v>669</v>
      </c>
      <c r="G56" s="171" t="s">
        <v>670</v>
      </c>
      <c r="H56" s="195">
        <v>6.9503000000000004</v>
      </c>
      <c r="I56" s="171" t="s">
        <v>671</v>
      </c>
      <c r="J56" s="57">
        <v>1</v>
      </c>
      <c r="K56" s="172">
        <v>2021</v>
      </c>
      <c r="L56" s="173" t="s">
        <v>898</v>
      </c>
      <c r="M56" s="173" t="s">
        <v>899</v>
      </c>
      <c r="N56" s="174" t="s">
        <v>900</v>
      </c>
      <c r="O56" s="171" t="s">
        <v>901</v>
      </c>
      <c r="P56" s="171" t="s">
        <v>675</v>
      </c>
      <c r="Q56" s="209">
        <v>1973</v>
      </c>
      <c r="R56" s="171">
        <v>9</v>
      </c>
      <c r="S56" s="171"/>
      <c r="T56" s="173"/>
      <c r="U56" s="171"/>
      <c r="V56" s="171"/>
      <c r="W56" s="171"/>
      <c r="X56" s="57">
        <v>2</v>
      </c>
      <c r="Y56" s="172">
        <v>4</v>
      </c>
      <c r="Z56" s="175" t="s">
        <v>676</v>
      </c>
      <c r="AA56" s="176">
        <v>2021</v>
      </c>
      <c r="AB56" s="176">
        <v>7</v>
      </c>
      <c r="AC56" s="176">
        <v>26</v>
      </c>
      <c r="AD56" s="177" t="b">
        <f>IF(ISBLANK(GroupMember[[#This Row],[1. Identifiant interne d’exploitation agricole*]]),"",IF(ISERROR(MATCH(GroupMember[[#This Row],[1. Identifiant interne d’exploitation agricole*]],CertifiedCrop[1. Identifiant interne d’exploitation agricole*],0)),FALSE,TRUE))</f>
        <v>1</v>
      </c>
      <c r="AE56" s="177" t="b">
        <f>IF(ISBLANK(GroupMember[[#This Row],[1. Identifiant interne d’exploitation agricole*]]),"",IF(ISERROR(MATCH(GroupMember[[#This Row],[1. Identifiant interne d’exploitation agricole*]],FarmUnit[1. Identifiant interne d’exploitation agricole*],0)),FALSE,TRUE))</f>
        <v>1</v>
      </c>
      <c r="AF56" s="178" t="str">
        <f t="shared" si="4"/>
        <v>PAGBELGUEM OUIBILA</v>
      </c>
      <c r="AG56" s="179" t="str">
        <f t="shared" si="5"/>
        <v>26/7/2021</v>
      </c>
      <c r="AH56" s="180">
        <f t="shared" si="1"/>
        <v>5</v>
      </c>
      <c r="AI56" s="181">
        <f t="shared" si="6"/>
        <v>2.3333333333333335</v>
      </c>
    </row>
    <row r="57" spans="1:35" ht="15">
      <c r="A57" s="170" t="s">
        <v>902</v>
      </c>
      <c r="B57" s="171" t="s">
        <v>902</v>
      </c>
      <c r="C57" s="171" t="s">
        <v>902</v>
      </c>
      <c r="D57" s="171" t="s">
        <v>667</v>
      </c>
      <c r="E57" s="171" t="s">
        <v>668</v>
      </c>
      <c r="F57" s="171" t="s">
        <v>669</v>
      </c>
      <c r="G57" s="171" t="s">
        <v>670</v>
      </c>
      <c r="H57" s="195">
        <v>3.4291</v>
      </c>
      <c r="I57" s="171" t="s">
        <v>671</v>
      </c>
      <c r="J57" s="57">
        <v>1</v>
      </c>
      <c r="K57" s="172">
        <v>2021</v>
      </c>
      <c r="L57" s="173" t="s">
        <v>903</v>
      </c>
      <c r="M57" s="173" t="s">
        <v>904</v>
      </c>
      <c r="N57" s="174" t="s">
        <v>905</v>
      </c>
      <c r="O57" s="171" t="s">
        <v>906</v>
      </c>
      <c r="P57" s="171" t="s">
        <v>675</v>
      </c>
      <c r="Q57" s="209">
        <v>1982</v>
      </c>
      <c r="R57" s="171">
        <v>8</v>
      </c>
      <c r="S57" s="171"/>
      <c r="T57" s="173"/>
      <c r="U57" s="171"/>
      <c r="V57" s="171"/>
      <c r="W57" s="171"/>
      <c r="X57" s="57">
        <v>0</v>
      </c>
      <c r="Y57" s="172">
        <v>2</v>
      </c>
      <c r="Z57" s="175" t="s">
        <v>676</v>
      </c>
      <c r="AA57" s="176">
        <v>2021</v>
      </c>
      <c r="AB57" s="176">
        <v>7</v>
      </c>
      <c r="AC57" s="176">
        <v>6</v>
      </c>
      <c r="AD57" s="177" t="b">
        <f>IF(ISBLANK(GroupMember[[#This Row],[1. Identifiant interne d’exploitation agricole*]]),"",IF(ISERROR(MATCH(GroupMember[[#This Row],[1. Identifiant interne d’exploitation agricole*]],CertifiedCrop[1. Identifiant interne d’exploitation agricole*],0)),FALSE,TRUE))</f>
        <v>1</v>
      </c>
      <c r="AE57" s="177" t="b">
        <f>IF(ISBLANK(GroupMember[[#This Row],[1. Identifiant interne d’exploitation agricole*]]),"",IF(ISERROR(MATCH(GroupMember[[#This Row],[1. Identifiant interne d’exploitation agricole*]],FarmUnit[1. Identifiant interne d’exploitation agricole*],0)),FALSE,TRUE))</f>
        <v>1</v>
      </c>
      <c r="AF57" s="178" t="str">
        <f t="shared" si="4"/>
        <v>RAMDE KISWENDSIDA PIERRE</v>
      </c>
      <c r="AG57" s="179" t="str">
        <f t="shared" si="5"/>
        <v>6/7/2021</v>
      </c>
      <c r="AH57" s="180">
        <f t="shared" si="1"/>
        <v>5</v>
      </c>
      <c r="AI57" s="181">
        <f t="shared" si="6"/>
        <v>0.16666666666666666</v>
      </c>
    </row>
    <row r="58" spans="1:35" ht="15">
      <c r="A58" s="170" t="s">
        <v>907</v>
      </c>
      <c r="B58" s="171" t="s">
        <v>907</v>
      </c>
      <c r="C58" s="171" t="s">
        <v>907</v>
      </c>
      <c r="D58" s="171" t="s">
        <v>667</v>
      </c>
      <c r="E58" s="171" t="s">
        <v>668</v>
      </c>
      <c r="F58" s="171" t="s">
        <v>669</v>
      </c>
      <c r="G58" s="171" t="s">
        <v>670</v>
      </c>
      <c r="H58" s="195">
        <v>3.5219999999999998</v>
      </c>
      <c r="I58" s="171" t="s">
        <v>671</v>
      </c>
      <c r="J58" s="57">
        <v>1</v>
      </c>
      <c r="K58" s="172">
        <v>2021</v>
      </c>
      <c r="L58" s="194" t="s">
        <v>908</v>
      </c>
      <c r="M58" s="173" t="s">
        <v>909</v>
      </c>
      <c r="N58" s="174" t="s">
        <v>910</v>
      </c>
      <c r="O58" s="57" t="s">
        <v>1832</v>
      </c>
      <c r="P58" s="171" t="s">
        <v>675</v>
      </c>
      <c r="Q58" s="209">
        <v>1980</v>
      </c>
      <c r="R58" s="171">
        <v>7</v>
      </c>
      <c r="S58" s="171"/>
      <c r="T58" s="173"/>
      <c r="U58" s="171"/>
      <c r="V58" s="171"/>
      <c r="W58" s="171"/>
      <c r="X58" s="57">
        <v>0</v>
      </c>
      <c r="Y58" s="172">
        <v>2</v>
      </c>
      <c r="Z58" s="175" t="s">
        <v>676</v>
      </c>
      <c r="AA58" s="176">
        <v>2021</v>
      </c>
      <c r="AB58" s="176">
        <v>7</v>
      </c>
      <c r="AC58" s="176">
        <v>30</v>
      </c>
      <c r="AD58" s="177" t="b">
        <f>IF(ISBLANK(GroupMember[[#This Row],[1. Identifiant interne d’exploitation agricole*]]),"",IF(ISERROR(MATCH(GroupMember[[#This Row],[1. Identifiant interne d’exploitation agricole*]],CertifiedCrop[1. Identifiant interne d’exploitation agricole*],0)),FALSE,TRUE))</f>
        <v>1</v>
      </c>
      <c r="AE58" s="177" t="b">
        <f>IF(ISBLANK(GroupMember[[#This Row],[1. Identifiant interne d’exploitation agricole*]]),"",IF(ISERROR(MATCH(GroupMember[[#This Row],[1. Identifiant interne d’exploitation agricole*]],FarmUnit[1. Identifiant interne d’exploitation agricole*],0)),FALSE,TRUE))</f>
        <v>1</v>
      </c>
      <c r="AF58" s="178" t="str">
        <f t="shared" si="4"/>
        <v>KIENDREBEOGO SYLVAIN</v>
      </c>
      <c r="AG58" s="179" t="str">
        <f t="shared" si="5"/>
        <v>30/7/2021</v>
      </c>
      <c r="AH58" s="180">
        <f t="shared" si="1"/>
        <v>6</v>
      </c>
      <c r="AI58" s="181">
        <f t="shared" si="6"/>
        <v>0.16666666666666666</v>
      </c>
    </row>
    <row r="59" spans="1:35" ht="15">
      <c r="A59" s="170" t="s">
        <v>911</v>
      </c>
      <c r="B59" s="171" t="s">
        <v>911</v>
      </c>
      <c r="C59" s="171" t="s">
        <v>911</v>
      </c>
      <c r="D59" s="171" t="s">
        <v>667</v>
      </c>
      <c r="E59" s="171" t="s">
        <v>668</v>
      </c>
      <c r="F59" s="171" t="s">
        <v>669</v>
      </c>
      <c r="G59" s="171" t="s">
        <v>670</v>
      </c>
      <c r="H59" s="195">
        <v>2.8323</v>
      </c>
      <c r="I59" s="171" t="s">
        <v>671</v>
      </c>
      <c r="J59" s="57">
        <v>1</v>
      </c>
      <c r="K59" s="172">
        <v>2021</v>
      </c>
      <c r="L59" s="173" t="s">
        <v>735</v>
      </c>
      <c r="M59" s="173" t="s">
        <v>912</v>
      </c>
      <c r="N59" s="174" t="s">
        <v>913</v>
      </c>
      <c r="O59" s="171" t="s">
        <v>914</v>
      </c>
      <c r="P59" s="171" t="s">
        <v>675</v>
      </c>
      <c r="Q59" s="209">
        <v>2000</v>
      </c>
      <c r="R59" s="171">
        <v>4</v>
      </c>
      <c r="S59" s="171"/>
      <c r="T59" s="173"/>
      <c r="U59" s="171"/>
      <c r="V59" s="171"/>
      <c r="W59" s="171"/>
      <c r="X59" s="57">
        <v>0</v>
      </c>
      <c r="Y59" s="172">
        <v>2</v>
      </c>
      <c r="Z59" s="175" t="s">
        <v>676</v>
      </c>
      <c r="AA59" s="176">
        <v>2021</v>
      </c>
      <c r="AB59" s="176">
        <v>7</v>
      </c>
      <c r="AC59" s="176">
        <v>19</v>
      </c>
      <c r="AD59" s="177" t="b">
        <f>IF(ISBLANK(GroupMember[[#This Row],[1. Identifiant interne d’exploitation agricole*]]),"",IF(ISERROR(MATCH(GroupMember[[#This Row],[1. Identifiant interne d’exploitation agricole*]],CertifiedCrop[1. Identifiant interne d’exploitation agricole*],0)),FALSE,TRUE))</f>
        <v>1</v>
      </c>
      <c r="AE59" s="177" t="b">
        <f>IF(ISBLANK(GroupMember[[#This Row],[1. Identifiant interne d’exploitation agricole*]]),"",IF(ISERROR(MATCH(GroupMember[[#This Row],[1. Identifiant interne d’exploitation agricole*]],FarmUnit[1. Identifiant interne d’exploitation agricole*],0)),FALSE,TRUE))</f>
        <v>1</v>
      </c>
      <c r="AF59" s="178" t="str">
        <f t="shared" si="4"/>
        <v>KINDO SOULEYMANE</v>
      </c>
      <c r="AG59" s="179" t="str">
        <f t="shared" si="5"/>
        <v>19/7/2021</v>
      </c>
      <c r="AH59" s="180">
        <f t="shared" si="1"/>
        <v>6</v>
      </c>
      <c r="AI59" s="181">
        <f t="shared" si="6"/>
        <v>0.16666666666666666</v>
      </c>
    </row>
    <row r="60" spans="1:35" ht="15">
      <c r="A60" s="170" t="s">
        <v>915</v>
      </c>
      <c r="B60" s="171" t="s">
        <v>915</v>
      </c>
      <c r="C60" s="171" t="s">
        <v>915</v>
      </c>
      <c r="D60" s="171" t="s">
        <v>667</v>
      </c>
      <c r="E60" s="171" t="s">
        <v>668</v>
      </c>
      <c r="F60" s="171" t="s">
        <v>669</v>
      </c>
      <c r="G60" s="171" t="s">
        <v>670</v>
      </c>
      <c r="H60" s="195">
        <v>4.4162999999999997</v>
      </c>
      <c r="I60" s="171" t="s">
        <v>671</v>
      </c>
      <c r="J60" s="57">
        <v>1</v>
      </c>
      <c r="K60" s="172">
        <v>2021</v>
      </c>
      <c r="L60" s="173" t="s">
        <v>916</v>
      </c>
      <c r="M60" s="173" t="s">
        <v>917</v>
      </c>
      <c r="N60" s="174" t="s">
        <v>918</v>
      </c>
      <c r="O60" s="171" t="s">
        <v>919</v>
      </c>
      <c r="P60" s="171" t="s">
        <v>675</v>
      </c>
      <c r="Q60" s="209">
        <v>1984</v>
      </c>
      <c r="R60" s="171">
        <v>5</v>
      </c>
      <c r="S60" s="171"/>
      <c r="T60" s="173"/>
      <c r="U60" s="171"/>
      <c r="V60" s="171"/>
      <c r="W60" s="171"/>
      <c r="X60" s="57">
        <v>0</v>
      </c>
      <c r="Y60" s="172">
        <v>2</v>
      </c>
      <c r="Z60" s="175" t="s">
        <v>676</v>
      </c>
      <c r="AA60" s="176">
        <v>2021</v>
      </c>
      <c r="AB60" s="176">
        <v>7</v>
      </c>
      <c r="AC60" s="176">
        <v>12</v>
      </c>
      <c r="AD60" s="177" t="b">
        <f>IF(ISBLANK(GroupMember[[#This Row],[1. Identifiant interne d’exploitation agricole*]]),"",IF(ISERROR(MATCH(GroupMember[[#This Row],[1. Identifiant interne d’exploitation agricole*]],CertifiedCrop[1. Identifiant interne d’exploitation agricole*],0)),FALSE,TRUE))</f>
        <v>1</v>
      </c>
      <c r="AE60" s="177" t="b">
        <f>IF(ISBLANK(GroupMember[[#This Row],[1. Identifiant interne d’exploitation agricole*]]),"",IF(ISERROR(MATCH(GroupMember[[#This Row],[1. Identifiant interne d’exploitation agricole*]],FarmUnit[1. Identifiant interne d’exploitation agricole*],0)),FALSE,TRUE))</f>
        <v>1</v>
      </c>
      <c r="AF60" s="178" t="str">
        <f t="shared" si="4"/>
        <v>COULIBALY KIM</v>
      </c>
      <c r="AG60" s="179" t="str">
        <f t="shared" si="5"/>
        <v>12/7/2021</v>
      </c>
      <c r="AH60" s="180">
        <f t="shared" si="1"/>
        <v>5</v>
      </c>
      <c r="AI60" s="181">
        <f t="shared" si="6"/>
        <v>0.16666666666666666</v>
      </c>
    </row>
    <row r="61" spans="1:35" ht="15">
      <c r="A61" s="170" t="s">
        <v>920</v>
      </c>
      <c r="B61" s="171" t="s">
        <v>920</v>
      </c>
      <c r="C61" s="171" t="s">
        <v>920</v>
      </c>
      <c r="D61" s="171" t="s">
        <v>667</v>
      </c>
      <c r="E61" s="171" t="s">
        <v>668</v>
      </c>
      <c r="F61" s="171" t="s">
        <v>669</v>
      </c>
      <c r="G61" s="171" t="s">
        <v>670</v>
      </c>
      <c r="H61" s="195">
        <v>2.0627</v>
      </c>
      <c r="I61" s="171" t="s">
        <v>671</v>
      </c>
      <c r="J61" s="57">
        <v>1</v>
      </c>
      <c r="K61" s="172">
        <v>2021</v>
      </c>
      <c r="L61" s="173" t="s">
        <v>898</v>
      </c>
      <c r="M61" s="173" t="s">
        <v>921</v>
      </c>
      <c r="N61" s="174" t="s">
        <v>922</v>
      </c>
      <c r="O61" s="171" t="s">
        <v>923</v>
      </c>
      <c r="P61" s="171" t="s">
        <v>675</v>
      </c>
      <c r="Q61" s="209">
        <v>1992</v>
      </c>
      <c r="R61" s="171">
        <v>5</v>
      </c>
      <c r="S61" s="171"/>
      <c r="T61" s="173"/>
      <c r="U61" s="171"/>
      <c r="V61" s="171"/>
      <c r="W61" s="171"/>
      <c r="X61" s="57">
        <v>0</v>
      </c>
      <c r="Y61" s="172">
        <v>2</v>
      </c>
      <c r="Z61" s="175" t="s">
        <v>676</v>
      </c>
      <c r="AA61" s="176">
        <v>2021</v>
      </c>
      <c r="AB61" s="176">
        <v>7</v>
      </c>
      <c r="AC61" s="176">
        <v>27</v>
      </c>
      <c r="AD61" s="177" t="b">
        <f>IF(ISBLANK(GroupMember[[#This Row],[1. Identifiant interne d’exploitation agricole*]]),"",IF(ISERROR(MATCH(GroupMember[[#This Row],[1. Identifiant interne d’exploitation agricole*]],CertifiedCrop[1. Identifiant interne d’exploitation agricole*],0)),FALSE,TRUE))</f>
        <v>1</v>
      </c>
      <c r="AE61" s="177" t="b">
        <f>IF(ISBLANK(GroupMember[[#This Row],[1. Identifiant interne d’exploitation agricole*]]),"",IF(ISERROR(MATCH(GroupMember[[#This Row],[1. Identifiant interne d’exploitation agricole*]],FarmUnit[1. Identifiant interne d’exploitation agricole*],0)),FALSE,TRUE))</f>
        <v>1</v>
      </c>
      <c r="AF61" s="178" t="str">
        <f t="shared" si="4"/>
        <v>PAGBELGUEM POUSAGA RAPHAEL</v>
      </c>
      <c r="AG61" s="179" t="str">
        <f t="shared" si="5"/>
        <v>27/7/2021</v>
      </c>
      <c r="AH61" s="180">
        <f t="shared" si="1"/>
        <v>6</v>
      </c>
      <c r="AI61" s="181">
        <f t="shared" si="6"/>
        <v>0.16666666666666666</v>
      </c>
    </row>
    <row r="62" spans="1:35" ht="15">
      <c r="A62" s="170" t="s">
        <v>924</v>
      </c>
      <c r="B62" s="171" t="s">
        <v>924</v>
      </c>
      <c r="C62" s="171" t="s">
        <v>924</v>
      </c>
      <c r="D62" s="171" t="s">
        <v>667</v>
      </c>
      <c r="E62" s="171" t="s">
        <v>668</v>
      </c>
      <c r="F62" s="171" t="s">
        <v>669</v>
      </c>
      <c r="G62" s="171" t="s">
        <v>670</v>
      </c>
      <c r="H62" s="195">
        <v>6.3579999999999997</v>
      </c>
      <c r="I62" s="171" t="s">
        <v>671</v>
      </c>
      <c r="J62" s="57">
        <v>1</v>
      </c>
      <c r="K62" s="172">
        <v>2021</v>
      </c>
      <c r="L62" s="173" t="s">
        <v>916</v>
      </c>
      <c r="M62" s="173" t="s">
        <v>925</v>
      </c>
      <c r="N62" s="174" t="s">
        <v>926</v>
      </c>
      <c r="O62" s="171" t="s">
        <v>927</v>
      </c>
      <c r="P62" s="171" t="s">
        <v>675</v>
      </c>
      <c r="Q62" s="209">
        <v>1972</v>
      </c>
      <c r="R62" s="171">
        <v>5</v>
      </c>
      <c r="S62" s="171"/>
      <c r="T62" s="173"/>
      <c r="U62" s="171"/>
      <c r="V62" s="171"/>
      <c r="W62" s="171"/>
      <c r="X62" s="57">
        <v>0</v>
      </c>
      <c r="Y62" s="172">
        <v>2</v>
      </c>
      <c r="Z62" s="175" t="s">
        <v>676</v>
      </c>
      <c r="AA62" s="176">
        <v>2021</v>
      </c>
      <c r="AB62" s="176">
        <v>7</v>
      </c>
      <c r="AC62" s="176">
        <v>25</v>
      </c>
      <c r="AD62" s="177" t="b">
        <f>IF(ISBLANK(GroupMember[[#This Row],[1. Identifiant interne d’exploitation agricole*]]),"",IF(ISERROR(MATCH(GroupMember[[#This Row],[1. Identifiant interne d’exploitation agricole*]],CertifiedCrop[1. Identifiant interne d’exploitation agricole*],0)),FALSE,TRUE))</f>
        <v>1</v>
      </c>
      <c r="AE62" s="177" t="b">
        <f>IF(ISBLANK(GroupMember[[#This Row],[1. Identifiant interne d’exploitation agricole*]]),"",IF(ISERROR(MATCH(GroupMember[[#This Row],[1. Identifiant interne d’exploitation agricole*]],FarmUnit[1. Identifiant interne d’exploitation agricole*],0)),FALSE,TRUE))</f>
        <v>1</v>
      </c>
      <c r="AF62" s="178" t="str">
        <f t="shared" si="4"/>
        <v>COULIBALY MAMADOU</v>
      </c>
      <c r="AG62" s="179" t="str">
        <f t="shared" si="5"/>
        <v>25/7/2021</v>
      </c>
      <c r="AH62" s="180">
        <f t="shared" si="1"/>
        <v>1</v>
      </c>
      <c r="AI62" s="181">
        <f t="shared" si="6"/>
        <v>0.16666666666666666</v>
      </c>
    </row>
    <row r="63" spans="1:35" ht="15">
      <c r="A63" s="170" t="s">
        <v>928</v>
      </c>
      <c r="B63" s="171" t="s">
        <v>928</v>
      </c>
      <c r="C63" s="171" t="s">
        <v>928</v>
      </c>
      <c r="D63" s="171" t="s">
        <v>667</v>
      </c>
      <c r="E63" s="171" t="s">
        <v>668</v>
      </c>
      <c r="F63" s="171" t="s">
        <v>669</v>
      </c>
      <c r="G63" s="171" t="s">
        <v>670</v>
      </c>
      <c r="H63" s="195">
        <v>8.563600000000001</v>
      </c>
      <c r="I63" s="171" t="s">
        <v>671</v>
      </c>
      <c r="J63" s="57">
        <v>1</v>
      </c>
      <c r="K63" s="172">
        <v>2021</v>
      </c>
      <c r="L63" s="173" t="s">
        <v>929</v>
      </c>
      <c r="M63" s="173" t="s">
        <v>930</v>
      </c>
      <c r="N63" s="174" t="s">
        <v>931</v>
      </c>
      <c r="O63" s="171" t="s">
        <v>2485</v>
      </c>
      <c r="P63" s="171" t="s">
        <v>675</v>
      </c>
      <c r="Q63" s="209">
        <v>1978</v>
      </c>
      <c r="R63" s="171">
        <v>6</v>
      </c>
      <c r="S63" s="171"/>
      <c r="T63" s="173"/>
      <c r="U63" s="171"/>
      <c r="V63" s="171"/>
      <c r="W63" s="171"/>
      <c r="X63" s="57">
        <v>3</v>
      </c>
      <c r="Y63" s="172">
        <v>5</v>
      </c>
      <c r="Z63" s="175" t="s">
        <v>676</v>
      </c>
      <c r="AA63" s="176">
        <v>2021</v>
      </c>
      <c r="AB63" s="176">
        <v>7</v>
      </c>
      <c r="AC63" s="176">
        <v>15</v>
      </c>
      <c r="AD63" s="177" t="b">
        <f>IF(ISBLANK(GroupMember[[#This Row],[1. Identifiant interne d’exploitation agricole*]]),"",IF(ISERROR(MATCH(GroupMember[[#This Row],[1. Identifiant interne d’exploitation agricole*]],CertifiedCrop[1. Identifiant interne d’exploitation agricole*],0)),FALSE,TRUE))</f>
        <v>1</v>
      </c>
      <c r="AE63" s="177" t="b">
        <f>IF(ISBLANK(GroupMember[[#This Row],[1. Identifiant interne d’exploitation agricole*]]),"",IF(ISERROR(MATCH(GroupMember[[#This Row],[1. Identifiant interne d’exploitation agricole*]],FarmUnit[1. Identifiant interne d’exploitation agricole*],0)),FALSE,TRUE))</f>
        <v>1</v>
      </c>
      <c r="AF63" s="178" t="str">
        <f t="shared" si="4"/>
        <v>SORO  KOLOTIAHAFOLO</v>
      </c>
      <c r="AG63" s="179" t="str">
        <f t="shared" si="5"/>
        <v>15/7/2021</v>
      </c>
      <c r="AH63" s="180">
        <f t="shared" si="1"/>
        <v>6</v>
      </c>
      <c r="AI63" s="181">
        <f t="shared" si="6"/>
        <v>3.4166666666666665</v>
      </c>
    </row>
    <row r="64" spans="1:35" ht="15">
      <c r="A64" s="170" t="s">
        <v>932</v>
      </c>
      <c r="B64" s="171" t="s">
        <v>932</v>
      </c>
      <c r="C64" s="171" t="s">
        <v>932</v>
      </c>
      <c r="D64" s="171" t="s">
        <v>667</v>
      </c>
      <c r="E64" s="171" t="s">
        <v>668</v>
      </c>
      <c r="F64" s="171" t="s">
        <v>669</v>
      </c>
      <c r="G64" s="171" t="s">
        <v>670</v>
      </c>
      <c r="H64" s="195">
        <v>8.4547999999999988</v>
      </c>
      <c r="I64" s="171" t="s">
        <v>671</v>
      </c>
      <c r="J64" s="57">
        <v>1</v>
      </c>
      <c r="K64" s="172">
        <v>2021</v>
      </c>
      <c r="L64" s="173" t="s">
        <v>749</v>
      </c>
      <c r="M64" s="173" t="s">
        <v>912</v>
      </c>
      <c r="N64" s="174" t="s">
        <v>933</v>
      </c>
      <c r="O64" s="171" t="s">
        <v>934</v>
      </c>
      <c r="P64" s="171" t="s">
        <v>675</v>
      </c>
      <c r="Q64" s="209">
        <v>1989</v>
      </c>
      <c r="R64" s="171">
        <v>6</v>
      </c>
      <c r="S64" s="171"/>
      <c r="T64" s="173"/>
      <c r="U64" s="171"/>
      <c r="V64" s="171"/>
      <c r="W64" s="171"/>
      <c r="X64" s="57">
        <v>5</v>
      </c>
      <c r="Y64" s="172">
        <v>7</v>
      </c>
      <c r="Z64" s="175" t="s">
        <v>676</v>
      </c>
      <c r="AA64" s="176">
        <v>2021</v>
      </c>
      <c r="AB64" s="176">
        <v>7</v>
      </c>
      <c r="AC64" s="176">
        <v>28</v>
      </c>
      <c r="AD64" s="177" t="b">
        <f>IF(ISBLANK(GroupMember[[#This Row],[1. Identifiant interne d’exploitation agricole*]]),"",IF(ISERROR(MATCH(GroupMember[[#This Row],[1. Identifiant interne d’exploitation agricole*]],CertifiedCrop[1. Identifiant interne d’exploitation agricole*],0)),FALSE,TRUE))</f>
        <v>1</v>
      </c>
      <c r="AE64" s="177" t="b">
        <f>IF(ISBLANK(GroupMember[[#This Row],[1. Identifiant interne d’exploitation agricole*]]),"",IF(ISERROR(MATCH(GroupMember[[#This Row],[1. Identifiant interne d’exploitation agricole*]],FarmUnit[1. Identifiant interne d’exploitation agricole*],0)),FALSE,TRUE))</f>
        <v>1</v>
      </c>
      <c r="AF64" s="178" t="str">
        <f t="shared" si="4"/>
        <v>SAWADOGO  SOULEYMANE</v>
      </c>
      <c r="AG64" s="179" t="str">
        <f t="shared" si="5"/>
        <v>28/7/2021</v>
      </c>
      <c r="AH64" s="180">
        <f t="shared" si="1"/>
        <v>5</v>
      </c>
      <c r="AI64" s="181">
        <f t="shared" si="6"/>
        <v>5.583333333333333</v>
      </c>
    </row>
    <row r="65" spans="1:35" ht="15">
      <c r="A65" s="170" t="s">
        <v>935</v>
      </c>
      <c r="B65" s="171" t="s">
        <v>935</v>
      </c>
      <c r="C65" s="171" t="s">
        <v>935</v>
      </c>
      <c r="D65" s="171" t="s">
        <v>667</v>
      </c>
      <c r="E65" s="171" t="s">
        <v>668</v>
      </c>
      <c r="F65" s="171" t="s">
        <v>669</v>
      </c>
      <c r="G65" s="171" t="s">
        <v>670</v>
      </c>
      <c r="H65" s="195">
        <v>4.1745999999999999</v>
      </c>
      <c r="I65" s="171" t="s">
        <v>671</v>
      </c>
      <c r="J65" s="57">
        <v>1</v>
      </c>
      <c r="K65" s="172">
        <v>2021</v>
      </c>
      <c r="L65" s="173" t="s">
        <v>898</v>
      </c>
      <c r="M65" s="173" t="s">
        <v>936</v>
      </c>
      <c r="N65" s="174" t="s">
        <v>937</v>
      </c>
      <c r="O65" s="171" t="s">
        <v>938</v>
      </c>
      <c r="P65" s="171" t="s">
        <v>675</v>
      </c>
      <c r="Q65" s="209">
        <v>1976</v>
      </c>
      <c r="R65" s="171">
        <v>7</v>
      </c>
      <c r="S65" s="171"/>
      <c r="T65" s="173"/>
      <c r="U65" s="171"/>
      <c r="V65" s="171"/>
      <c r="W65" s="171"/>
      <c r="X65" s="57">
        <v>0</v>
      </c>
      <c r="Y65" s="172">
        <v>2</v>
      </c>
      <c r="Z65" s="175" t="s">
        <v>676</v>
      </c>
      <c r="AA65" s="176">
        <v>2021</v>
      </c>
      <c r="AB65" s="176">
        <v>7</v>
      </c>
      <c r="AC65" s="176">
        <v>16</v>
      </c>
      <c r="AD65" s="177" t="b">
        <f>IF(ISBLANK(GroupMember[[#This Row],[1. Identifiant interne d’exploitation agricole*]]),"",IF(ISERROR(MATCH(GroupMember[[#This Row],[1. Identifiant interne d’exploitation agricole*]],CertifiedCrop[1. Identifiant interne d’exploitation agricole*],0)),FALSE,TRUE))</f>
        <v>1</v>
      </c>
      <c r="AE65" s="177" t="b">
        <f>IF(ISBLANK(GroupMember[[#This Row],[1. Identifiant interne d’exploitation agricole*]]),"",IF(ISERROR(MATCH(GroupMember[[#This Row],[1. Identifiant interne d’exploitation agricole*]],FarmUnit[1. Identifiant interne d’exploitation agricole*],0)),FALSE,TRUE))</f>
        <v>1</v>
      </c>
      <c r="AF65" s="178" t="str">
        <f t="shared" si="4"/>
        <v>PAGBELGUEM TINDAOGO BOUREIMA</v>
      </c>
      <c r="AG65" s="179" t="str">
        <f t="shared" si="5"/>
        <v>16/7/2021</v>
      </c>
      <c r="AH65" s="180">
        <f t="shared" si="1"/>
        <v>6</v>
      </c>
      <c r="AI65" s="181">
        <f t="shared" si="6"/>
        <v>0.16666666666666666</v>
      </c>
    </row>
    <row r="66" spans="1:35" ht="15">
      <c r="A66" s="170" t="s">
        <v>939</v>
      </c>
      <c r="B66" s="171" t="s">
        <v>939</v>
      </c>
      <c r="C66" s="171" t="s">
        <v>939</v>
      </c>
      <c r="D66" s="171" t="s">
        <v>667</v>
      </c>
      <c r="E66" s="171" t="s">
        <v>668</v>
      </c>
      <c r="F66" s="171" t="s">
        <v>669</v>
      </c>
      <c r="G66" s="171" t="s">
        <v>670</v>
      </c>
      <c r="H66" s="195">
        <v>12.025</v>
      </c>
      <c r="I66" s="171" t="s">
        <v>671</v>
      </c>
      <c r="J66" s="57">
        <v>1</v>
      </c>
      <c r="K66" s="172">
        <v>2021</v>
      </c>
      <c r="L66" s="173" t="s">
        <v>898</v>
      </c>
      <c r="M66" s="173" t="s">
        <v>940</v>
      </c>
      <c r="N66" s="174" t="s">
        <v>941</v>
      </c>
      <c r="O66" s="171" t="s">
        <v>942</v>
      </c>
      <c r="P66" s="171" t="s">
        <v>675</v>
      </c>
      <c r="Q66" s="209">
        <v>1975</v>
      </c>
      <c r="R66" s="171">
        <v>3</v>
      </c>
      <c r="S66" s="171"/>
      <c r="T66" s="173"/>
      <c r="U66" s="171"/>
      <c r="V66" s="171"/>
      <c r="W66" s="171"/>
      <c r="X66" s="57">
        <v>1</v>
      </c>
      <c r="Y66" s="172">
        <v>3</v>
      </c>
      <c r="Z66" s="175" t="s">
        <v>676</v>
      </c>
      <c r="AA66" s="176">
        <v>2021</v>
      </c>
      <c r="AB66" s="176">
        <v>7</v>
      </c>
      <c r="AC66" s="176">
        <v>9</v>
      </c>
      <c r="AD66" s="177" t="b">
        <f>IF(ISBLANK(GroupMember[[#This Row],[1. Identifiant interne d’exploitation agricole*]]),"",IF(ISERROR(MATCH(GroupMember[[#This Row],[1. Identifiant interne d’exploitation agricole*]],CertifiedCrop[1. Identifiant interne d’exploitation agricole*],0)),FALSE,TRUE))</f>
        <v>1</v>
      </c>
      <c r="AE66" s="177" t="b">
        <f>IF(ISBLANK(GroupMember[[#This Row],[1. Identifiant interne d’exploitation agricole*]]),"",IF(ISERROR(MATCH(GroupMember[[#This Row],[1. Identifiant interne d’exploitation agricole*]],FarmUnit[1. Identifiant interne d’exploitation agricole*],0)),FALSE,TRUE))</f>
        <v>1</v>
      </c>
      <c r="AF66" s="178" t="str">
        <f t="shared" si="4"/>
        <v>PAGBELGUEM ALI</v>
      </c>
      <c r="AG66" s="179" t="str">
        <f t="shared" si="5"/>
        <v>9/7/2021</v>
      </c>
      <c r="AH66" s="180">
        <f t="shared" si="1"/>
        <v>5</v>
      </c>
      <c r="AI66" s="181">
        <f t="shared" si="6"/>
        <v>1.25</v>
      </c>
    </row>
    <row r="67" spans="1:35" ht="15">
      <c r="A67" s="170" t="s">
        <v>943</v>
      </c>
      <c r="B67" s="171" t="s">
        <v>943</v>
      </c>
      <c r="C67" s="171" t="s">
        <v>943</v>
      </c>
      <c r="D67" s="171" t="s">
        <v>667</v>
      </c>
      <c r="E67" s="171" t="s">
        <v>668</v>
      </c>
      <c r="F67" s="171" t="s">
        <v>669</v>
      </c>
      <c r="G67" s="171" t="s">
        <v>670</v>
      </c>
      <c r="H67" s="195">
        <v>1.794</v>
      </c>
      <c r="I67" s="171" t="s">
        <v>671</v>
      </c>
      <c r="J67" s="57">
        <v>1</v>
      </c>
      <c r="K67" s="172">
        <v>2021</v>
      </c>
      <c r="L67" s="173" t="s">
        <v>830</v>
      </c>
      <c r="M67" s="173" t="s">
        <v>944</v>
      </c>
      <c r="N67" s="174" t="s">
        <v>945</v>
      </c>
      <c r="O67" s="171" t="s">
        <v>2486</v>
      </c>
      <c r="P67" s="171" t="s">
        <v>675</v>
      </c>
      <c r="Q67" s="209">
        <v>1975</v>
      </c>
      <c r="R67" s="171">
        <v>8</v>
      </c>
      <c r="S67" s="171"/>
      <c r="T67" s="173"/>
      <c r="U67" s="171"/>
      <c r="V67" s="171"/>
      <c r="W67" s="171"/>
      <c r="X67" s="57">
        <v>0</v>
      </c>
      <c r="Y67" s="172">
        <v>2</v>
      </c>
      <c r="Z67" s="175" t="s">
        <v>676</v>
      </c>
      <c r="AA67" s="176">
        <v>2021</v>
      </c>
      <c r="AB67" s="176">
        <v>7</v>
      </c>
      <c r="AC67" s="176">
        <v>27</v>
      </c>
      <c r="AD67" s="177" t="b">
        <f>IF(ISBLANK(GroupMember[[#This Row],[1. Identifiant interne d’exploitation agricole*]]),"",IF(ISERROR(MATCH(GroupMember[[#This Row],[1. Identifiant interne d’exploitation agricole*]],CertifiedCrop[1. Identifiant interne d’exploitation agricole*],0)),FALSE,TRUE))</f>
        <v>1</v>
      </c>
      <c r="AE67" s="177" t="b">
        <f>IF(ISBLANK(GroupMember[[#This Row],[1. Identifiant interne d’exploitation agricole*]]),"",IF(ISERROR(MATCH(GroupMember[[#This Row],[1. Identifiant interne d’exploitation agricole*]],FarmUnit[1. Identifiant interne d’exploitation agricole*],0)),FALSE,TRUE))</f>
        <v>1</v>
      </c>
      <c r="AF67" s="178" t="str">
        <f t="shared" si="4"/>
        <v>SABA PINGRONOMA</v>
      </c>
      <c r="AG67" s="179" t="str">
        <f t="shared" si="5"/>
        <v>27/7/2021</v>
      </c>
      <c r="AH67" s="180">
        <f t="shared" ref="AH67:AH130" si="7">COUNTIFS(Z:Z,Z67,AG:AG,AG67)</f>
        <v>6</v>
      </c>
      <c r="AI67" s="181">
        <f t="shared" si="6"/>
        <v>0.16666666666666666</v>
      </c>
    </row>
    <row r="68" spans="1:35" ht="15">
      <c r="A68" s="170" t="s">
        <v>946</v>
      </c>
      <c r="B68" s="171" t="s">
        <v>946</v>
      </c>
      <c r="C68" s="171" t="s">
        <v>946</v>
      </c>
      <c r="D68" s="171" t="s">
        <v>667</v>
      </c>
      <c r="E68" s="171" t="s">
        <v>668</v>
      </c>
      <c r="F68" s="171" t="s">
        <v>669</v>
      </c>
      <c r="G68" s="171" t="s">
        <v>670</v>
      </c>
      <c r="H68" s="195">
        <v>3.2833999999999999</v>
      </c>
      <c r="I68" s="171" t="s">
        <v>671</v>
      </c>
      <c r="J68" s="57">
        <v>1</v>
      </c>
      <c r="K68" s="172">
        <v>2021</v>
      </c>
      <c r="L68" s="173" t="s">
        <v>749</v>
      </c>
      <c r="M68" s="173" t="s">
        <v>947</v>
      </c>
      <c r="N68" s="174" t="s">
        <v>948</v>
      </c>
      <c r="O68" s="171" t="s">
        <v>949</v>
      </c>
      <c r="P68" s="171" t="s">
        <v>675</v>
      </c>
      <c r="Q68" s="209">
        <v>1991</v>
      </c>
      <c r="R68" s="171">
        <v>5</v>
      </c>
      <c r="S68" s="171"/>
      <c r="T68" s="173"/>
      <c r="U68" s="171"/>
      <c r="V68" s="171"/>
      <c r="W68" s="171"/>
      <c r="X68" s="57">
        <v>0</v>
      </c>
      <c r="Y68" s="172">
        <v>2</v>
      </c>
      <c r="Z68" s="175" t="s">
        <v>676</v>
      </c>
      <c r="AA68" s="176">
        <v>2021</v>
      </c>
      <c r="AB68" s="176">
        <v>7</v>
      </c>
      <c r="AC68" s="176">
        <v>19</v>
      </c>
      <c r="AD68" s="177" t="b">
        <f>IF(ISBLANK(GroupMember[[#This Row],[1. Identifiant interne d’exploitation agricole*]]),"",IF(ISERROR(MATCH(GroupMember[[#This Row],[1. Identifiant interne d’exploitation agricole*]],CertifiedCrop[1. Identifiant interne d’exploitation agricole*],0)),FALSE,TRUE))</f>
        <v>1</v>
      </c>
      <c r="AE68" s="177" t="b">
        <f>IF(ISBLANK(GroupMember[[#This Row],[1. Identifiant interne d’exploitation agricole*]]),"",IF(ISERROR(MATCH(GroupMember[[#This Row],[1. Identifiant interne d’exploitation agricole*]],FarmUnit[1. Identifiant interne d’exploitation agricole*],0)),FALSE,TRUE))</f>
        <v>1</v>
      </c>
      <c r="AF68" s="178" t="str">
        <f t="shared" si="4"/>
        <v>SAWADOGO  YOBI</v>
      </c>
      <c r="AG68" s="179" t="str">
        <f t="shared" si="5"/>
        <v>19/7/2021</v>
      </c>
      <c r="AH68" s="180">
        <f t="shared" si="7"/>
        <v>6</v>
      </c>
      <c r="AI68" s="181">
        <f t="shared" si="6"/>
        <v>0.16666666666666666</v>
      </c>
    </row>
    <row r="69" spans="1:35" ht="15">
      <c r="A69" s="170" t="s">
        <v>950</v>
      </c>
      <c r="B69" s="171" t="s">
        <v>950</v>
      </c>
      <c r="C69" s="171" t="s">
        <v>950</v>
      </c>
      <c r="D69" s="171" t="s">
        <v>667</v>
      </c>
      <c r="E69" s="171" t="s">
        <v>668</v>
      </c>
      <c r="F69" s="171" t="s">
        <v>669</v>
      </c>
      <c r="G69" s="171" t="s">
        <v>670</v>
      </c>
      <c r="H69" s="195">
        <v>4.2368000000000006</v>
      </c>
      <c r="I69" s="171" t="s">
        <v>671</v>
      </c>
      <c r="J69" s="57">
        <v>1</v>
      </c>
      <c r="K69" s="172">
        <v>2021</v>
      </c>
      <c r="L69" s="173" t="s">
        <v>845</v>
      </c>
      <c r="M69" s="173" t="s">
        <v>684</v>
      </c>
      <c r="N69" s="174" t="s">
        <v>951</v>
      </c>
      <c r="O69" s="171" t="s">
        <v>2487</v>
      </c>
      <c r="P69" s="171" t="s">
        <v>675</v>
      </c>
      <c r="Q69" s="209">
        <v>1964</v>
      </c>
      <c r="R69" s="171">
        <v>7</v>
      </c>
      <c r="S69" s="171"/>
      <c r="T69" s="173"/>
      <c r="U69" s="171"/>
      <c r="V69" s="171"/>
      <c r="W69" s="171"/>
      <c r="X69" s="57">
        <v>0</v>
      </c>
      <c r="Y69" s="172">
        <v>2</v>
      </c>
      <c r="Z69" s="175" t="s">
        <v>676</v>
      </c>
      <c r="AA69" s="176">
        <v>2021</v>
      </c>
      <c r="AB69" s="176">
        <v>8</v>
      </c>
      <c r="AC69" s="176">
        <v>11</v>
      </c>
      <c r="AD69" s="177" t="b">
        <f>IF(ISBLANK(GroupMember[[#This Row],[1. Identifiant interne d’exploitation agricole*]]),"",IF(ISERROR(MATCH(GroupMember[[#This Row],[1. Identifiant interne d’exploitation agricole*]],CertifiedCrop[1. Identifiant interne d’exploitation agricole*],0)),FALSE,TRUE))</f>
        <v>1</v>
      </c>
      <c r="AE69" s="177" t="b">
        <f>IF(ISBLANK(GroupMember[[#This Row],[1. Identifiant interne d’exploitation agricole*]]),"",IF(ISERROR(MATCH(GroupMember[[#This Row],[1. Identifiant interne d’exploitation agricole*]],FarmUnit[1. Identifiant interne d’exploitation agricole*],0)),FALSE,TRUE))</f>
        <v>1</v>
      </c>
      <c r="AF69" s="178" t="str">
        <f t="shared" si="4"/>
        <v>SABO  MOUSSA</v>
      </c>
      <c r="AG69" s="179" t="str">
        <f t="shared" si="5"/>
        <v>11/8/2021</v>
      </c>
      <c r="AH69" s="180">
        <f t="shared" si="7"/>
        <v>4</v>
      </c>
      <c r="AI69" s="181">
        <f t="shared" si="6"/>
        <v>0.16666666666666666</v>
      </c>
    </row>
    <row r="70" spans="1:35" ht="15">
      <c r="A70" s="170" t="s">
        <v>952</v>
      </c>
      <c r="B70" s="171" t="s">
        <v>952</v>
      </c>
      <c r="C70" s="171" t="s">
        <v>952</v>
      </c>
      <c r="D70" s="171" t="s">
        <v>667</v>
      </c>
      <c r="E70" s="171" t="s">
        <v>668</v>
      </c>
      <c r="F70" s="171" t="s">
        <v>669</v>
      </c>
      <c r="G70" s="171" t="s">
        <v>670</v>
      </c>
      <c r="H70" s="195">
        <v>3.04</v>
      </c>
      <c r="I70" s="171" t="s">
        <v>671</v>
      </c>
      <c r="J70" s="57">
        <v>1</v>
      </c>
      <c r="K70" s="172">
        <v>2021</v>
      </c>
      <c r="L70" s="173" t="s">
        <v>953</v>
      </c>
      <c r="M70" s="173" t="s">
        <v>954</v>
      </c>
      <c r="N70" s="174" t="s">
        <v>955</v>
      </c>
      <c r="O70" s="171" t="s">
        <v>956</v>
      </c>
      <c r="P70" s="171" t="s">
        <v>675</v>
      </c>
      <c r="Q70" s="209">
        <v>1975</v>
      </c>
      <c r="R70" s="171">
        <v>4</v>
      </c>
      <c r="S70" s="171"/>
      <c r="T70" s="173"/>
      <c r="U70" s="171"/>
      <c r="V70" s="171"/>
      <c r="W70" s="171"/>
      <c r="X70" s="57">
        <v>0</v>
      </c>
      <c r="Y70" s="172">
        <v>2</v>
      </c>
      <c r="Z70" s="175" t="s">
        <v>676</v>
      </c>
      <c r="AA70" s="176">
        <v>2021</v>
      </c>
      <c r="AB70" s="176">
        <v>7</v>
      </c>
      <c r="AC70" s="176">
        <v>5</v>
      </c>
      <c r="AD70" s="177" t="b">
        <f>IF(ISBLANK(GroupMember[[#This Row],[1. Identifiant interne d’exploitation agricole*]]),"",IF(ISERROR(MATCH(GroupMember[[#This Row],[1. Identifiant interne d’exploitation agricole*]],CertifiedCrop[1. Identifiant interne d’exploitation agricole*],0)),FALSE,TRUE))</f>
        <v>1</v>
      </c>
      <c r="AE70" s="177" t="b">
        <f>IF(ISBLANK(GroupMember[[#This Row],[1. Identifiant interne d’exploitation agricole*]]),"",IF(ISERROR(MATCH(GroupMember[[#This Row],[1. Identifiant interne d’exploitation agricole*]],FarmUnit[1. Identifiant interne d’exploitation agricole*],0)),FALSE,TRUE))</f>
        <v>1</v>
      </c>
      <c r="AF70" s="178" t="str">
        <f t="shared" si="4"/>
        <v>SANA ADAMA</v>
      </c>
      <c r="AG70" s="179" t="str">
        <f t="shared" si="5"/>
        <v>5/7/2021</v>
      </c>
      <c r="AH70" s="180">
        <f t="shared" si="7"/>
        <v>5</v>
      </c>
      <c r="AI70" s="181">
        <f t="shared" si="6"/>
        <v>0.16666666666666666</v>
      </c>
    </row>
    <row r="71" spans="1:35" ht="15">
      <c r="A71" s="170" t="s">
        <v>957</v>
      </c>
      <c r="B71" s="171" t="s">
        <v>957</v>
      </c>
      <c r="C71" s="171" t="s">
        <v>957</v>
      </c>
      <c r="D71" s="171" t="s">
        <v>667</v>
      </c>
      <c r="E71" s="171" t="s">
        <v>668</v>
      </c>
      <c r="F71" s="171" t="s">
        <v>669</v>
      </c>
      <c r="G71" s="171" t="s">
        <v>670</v>
      </c>
      <c r="H71" s="195">
        <v>3.0015000000000001</v>
      </c>
      <c r="I71" s="171" t="s">
        <v>671</v>
      </c>
      <c r="J71" s="57">
        <v>1</v>
      </c>
      <c r="K71" s="172">
        <v>2021</v>
      </c>
      <c r="L71" s="173" t="s">
        <v>898</v>
      </c>
      <c r="M71" s="173" t="s">
        <v>958</v>
      </c>
      <c r="N71" s="174" t="s">
        <v>959</v>
      </c>
      <c r="O71" s="171" t="s">
        <v>960</v>
      </c>
      <c r="P71" s="171" t="s">
        <v>675</v>
      </c>
      <c r="Q71" s="209">
        <v>2008</v>
      </c>
      <c r="R71" s="171">
        <v>6</v>
      </c>
      <c r="S71" s="171"/>
      <c r="T71" s="173"/>
      <c r="U71" s="171"/>
      <c r="V71" s="171"/>
      <c r="W71" s="171"/>
      <c r="X71" s="57">
        <v>0</v>
      </c>
      <c r="Y71" s="172">
        <v>2</v>
      </c>
      <c r="Z71" s="175" t="s">
        <v>676</v>
      </c>
      <c r="AA71" s="176">
        <v>2021</v>
      </c>
      <c r="AB71" s="176">
        <v>7</v>
      </c>
      <c r="AC71" s="176">
        <v>20</v>
      </c>
      <c r="AD71" s="177" t="b">
        <f>IF(ISBLANK(GroupMember[[#This Row],[1. Identifiant interne d’exploitation agricole*]]),"",IF(ISERROR(MATCH(GroupMember[[#This Row],[1. Identifiant interne d’exploitation agricole*]],CertifiedCrop[1. Identifiant interne d’exploitation agricole*],0)),FALSE,TRUE))</f>
        <v>1</v>
      </c>
      <c r="AE71" s="177" t="b">
        <f>IF(ISBLANK(GroupMember[[#This Row],[1. Identifiant interne d’exploitation agricole*]]),"",IF(ISERROR(MATCH(GroupMember[[#This Row],[1. Identifiant interne d’exploitation agricole*]],FarmUnit[1. Identifiant interne d’exploitation agricole*],0)),FALSE,TRUE))</f>
        <v>1</v>
      </c>
      <c r="AF71" s="178" t="str">
        <f t="shared" si="4"/>
        <v>PAGBELGUEM AMIDOU</v>
      </c>
      <c r="AG71" s="179" t="str">
        <f t="shared" si="5"/>
        <v>20/7/2021</v>
      </c>
      <c r="AH71" s="180">
        <f t="shared" si="7"/>
        <v>6</v>
      </c>
      <c r="AI71" s="181">
        <f t="shared" si="6"/>
        <v>0.16666666666666666</v>
      </c>
    </row>
    <row r="72" spans="1:35" ht="15">
      <c r="A72" s="170" t="s">
        <v>961</v>
      </c>
      <c r="B72" s="171" t="s">
        <v>961</v>
      </c>
      <c r="C72" s="171" t="s">
        <v>961</v>
      </c>
      <c r="D72" s="171" t="s">
        <v>667</v>
      </c>
      <c r="E72" s="171" t="s">
        <v>668</v>
      </c>
      <c r="F72" s="171" t="s">
        <v>669</v>
      </c>
      <c r="G72" s="171" t="s">
        <v>670</v>
      </c>
      <c r="H72" s="195">
        <v>2.9024000000000001</v>
      </c>
      <c r="I72" s="171" t="s">
        <v>671</v>
      </c>
      <c r="J72" s="57">
        <v>1</v>
      </c>
      <c r="K72" s="172">
        <v>2021</v>
      </c>
      <c r="L72" s="173" t="s">
        <v>962</v>
      </c>
      <c r="M72" s="173" t="s">
        <v>963</v>
      </c>
      <c r="N72" s="174" t="s">
        <v>964</v>
      </c>
      <c r="O72" s="171" t="s">
        <v>965</v>
      </c>
      <c r="P72" s="171" t="s">
        <v>675</v>
      </c>
      <c r="Q72" s="209">
        <v>1977</v>
      </c>
      <c r="R72" s="171">
        <v>6</v>
      </c>
      <c r="S72" s="171"/>
      <c r="T72" s="173"/>
      <c r="U72" s="171"/>
      <c r="V72" s="171"/>
      <c r="W72" s="171"/>
      <c r="X72" s="57">
        <v>0</v>
      </c>
      <c r="Y72" s="172">
        <v>2</v>
      </c>
      <c r="Z72" s="175" t="s">
        <v>676</v>
      </c>
      <c r="AA72" s="176">
        <v>2021</v>
      </c>
      <c r="AB72" s="176">
        <v>7</v>
      </c>
      <c r="AC72" s="176">
        <v>26</v>
      </c>
      <c r="AD72" s="177" t="b">
        <f>IF(ISBLANK(GroupMember[[#This Row],[1. Identifiant interne d’exploitation agricole*]]),"",IF(ISERROR(MATCH(GroupMember[[#This Row],[1. Identifiant interne d’exploitation agricole*]],CertifiedCrop[1. Identifiant interne d’exploitation agricole*],0)),FALSE,TRUE))</f>
        <v>1</v>
      </c>
      <c r="AE72" s="177" t="b">
        <f>IF(ISBLANK(GroupMember[[#This Row],[1. Identifiant interne d’exploitation agricole*]]),"",IF(ISERROR(MATCH(GroupMember[[#This Row],[1. Identifiant interne d’exploitation agricole*]],FarmUnit[1. Identifiant interne d’exploitation agricole*],0)),FALSE,TRUE))</f>
        <v>1</v>
      </c>
      <c r="AF72" s="178" t="str">
        <f t="shared" si="4"/>
        <v>SAMA LASSANA</v>
      </c>
      <c r="AG72" s="179" t="str">
        <f t="shared" si="5"/>
        <v>26/7/2021</v>
      </c>
      <c r="AH72" s="180">
        <f t="shared" si="7"/>
        <v>5</v>
      </c>
      <c r="AI72" s="181">
        <f t="shared" si="6"/>
        <v>0.16666666666666666</v>
      </c>
    </row>
    <row r="73" spans="1:35" ht="15">
      <c r="A73" s="170" t="s">
        <v>966</v>
      </c>
      <c r="B73" s="171" t="s">
        <v>966</v>
      </c>
      <c r="C73" s="171" t="s">
        <v>966</v>
      </c>
      <c r="D73" s="171" t="s">
        <v>667</v>
      </c>
      <c r="E73" s="171" t="s">
        <v>668</v>
      </c>
      <c r="F73" s="171" t="s">
        <v>669</v>
      </c>
      <c r="G73" s="171" t="s">
        <v>670</v>
      </c>
      <c r="H73" s="195">
        <v>3.7953999999999999</v>
      </c>
      <c r="I73" s="171" t="s">
        <v>671</v>
      </c>
      <c r="J73" s="57">
        <v>1</v>
      </c>
      <c r="K73" s="172">
        <v>2021</v>
      </c>
      <c r="L73" s="173" t="s">
        <v>749</v>
      </c>
      <c r="M73" s="173" t="s">
        <v>967</v>
      </c>
      <c r="N73" s="174" t="s">
        <v>968</v>
      </c>
      <c r="O73" s="171" t="s">
        <v>2488</v>
      </c>
      <c r="P73" s="171" t="s">
        <v>675</v>
      </c>
      <c r="Q73" s="209">
        <v>1976</v>
      </c>
      <c r="R73" s="171">
        <v>5</v>
      </c>
      <c r="S73" s="171"/>
      <c r="T73" s="173"/>
      <c r="U73" s="171"/>
      <c r="V73" s="171"/>
      <c r="W73" s="171"/>
      <c r="X73" s="57">
        <v>0</v>
      </c>
      <c r="Y73" s="172">
        <v>2</v>
      </c>
      <c r="Z73" s="175" t="s">
        <v>676</v>
      </c>
      <c r="AA73" s="176">
        <v>2021</v>
      </c>
      <c r="AB73" s="176">
        <v>7</v>
      </c>
      <c r="AC73" s="176">
        <v>6</v>
      </c>
      <c r="AD73" s="177" t="b">
        <f>IF(ISBLANK(GroupMember[[#This Row],[1. Identifiant interne d’exploitation agricole*]]),"",IF(ISERROR(MATCH(GroupMember[[#This Row],[1. Identifiant interne d’exploitation agricole*]],CertifiedCrop[1. Identifiant interne d’exploitation agricole*],0)),FALSE,TRUE))</f>
        <v>1</v>
      </c>
      <c r="AE73" s="177" t="b">
        <f>IF(ISBLANK(GroupMember[[#This Row],[1. Identifiant interne d’exploitation agricole*]]),"",IF(ISERROR(MATCH(GroupMember[[#This Row],[1. Identifiant interne d’exploitation agricole*]],FarmUnit[1. Identifiant interne d’exploitation agricole*],0)),FALSE,TRUE))</f>
        <v>1</v>
      </c>
      <c r="AF73" s="178" t="str">
        <f t="shared" si="4"/>
        <v>SAWADOGO  YOUSSOUF</v>
      </c>
      <c r="AG73" s="179" t="str">
        <f t="shared" si="5"/>
        <v>6/7/2021</v>
      </c>
      <c r="AH73" s="180">
        <f t="shared" si="7"/>
        <v>5</v>
      </c>
      <c r="AI73" s="181">
        <f t="shared" si="6"/>
        <v>0.16666666666666666</v>
      </c>
    </row>
    <row r="74" spans="1:35" ht="15">
      <c r="A74" s="170" t="s">
        <v>969</v>
      </c>
      <c r="B74" s="171" t="s">
        <v>969</v>
      </c>
      <c r="C74" s="171" t="s">
        <v>969</v>
      </c>
      <c r="D74" s="171" t="s">
        <v>667</v>
      </c>
      <c r="E74" s="171" t="s">
        <v>668</v>
      </c>
      <c r="F74" s="171" t="s">
        <v>669</v>
      </c>
      <c r="G74" s="171" t="s">
        <v>970</v>
      </c>
      <c r="H74" s="195">
        <v>9.0473999999999997</v>
      </c>
      <c r="I74" s="171" t="s">
        <v>671</v>
      </c>
      <c r="J74" s="57">
        <v>1</v>
      </c>
      <c r="K74" s="172">
        <v>2021</v>
      </c>
      <c r="L74" s="173" t="s">
        <v>971</v>
      </c>
      <c r="M74" s="173" t="s">
        <v>972</v>
      </c>
      <c r="N74" s="174" t="s">
        <v>973</v>
      </c>
      <c r="O74" s="171" t="s">
        <v>974</v>
      </c>
      <c r="P74" s="171" t="s">
        <v>675</v>
      </c>
      <c r="Q74" s="209">
        <v>1974</v>
      </c>
      <c r="R74" s="171">
        <v>9</v>
      </c>
      <c r="S74" s="171"/>
      <c r="T74" s="173"/>
      <c r="U74" s="171"/>
      <c r="V74" s="171"/>
      <c r="W74" s="171"/>
      <c r="X74" s="57">
        <v>2</v>
      </c>
      <c r="Y74" s="172">
        <v>4</v>
      </c>
      <c r="Z74" s="175" t="s">
        <v>676</v>
      </c>
      <c r="AA74" s="176">
        <v>2021</v>
      </c>
      <c r="AB74" s="176">
        <v>7</v>
      </c>
      <c r="AC74" s="176">
        <v>23</v>
      </c>
      <c r="AD74" s="177" t="b">
        <f>IF(ISBLANK(GroupMember[[#This Row],[1. Identifiant interne d’exploitation agricole*]]),"",IF(ISERROR(MATCH(GroupMember[[#This Row],[1. Identifiant interne d’exploitation agricole*]],CertifiedCrop[1. Identifiant interne d’exploitation agricole*],0)),FALSE,TRUE))</f>
        <v>1</v>
      </c>
      <c r="AE74" s="177" t="b">
        <f>IF(ISBLANK(GroupMember[[#This Row],[1. Identifiant interne d’exploitation agricole*]]),"",IF(ISERROR(MATCH(GroupMember[[#This Row],[1. Identifiant interne d’exploitation agricole*]],FarmUnit[1. Identifiant interne d’exploitation agricole*],0)),FALSE,TRUE))</f>
        <v>1</v>
      </c>
      <c r="AF74" s="178" t="str">
        <f t="shared" si="4"/>
        <v>KAMBOU TCHENITE</v>
      </c>
      <c r="AG74" s="179" t="str">
        <f t="shared" si="5"/>
        <v>23/7/2021</v>
      </c>
      <c r="AH74" s="180">
        <f t="shared" si="7"/>
        <v>5</v>
      </c>
      <c r="AI74" s="181">
        <f t="shared" si="6"/>
        <v>2.3333333333333335</v>
      </c>
    </row>
    <row r="75" spans="1:35" ht="15">
      <c r="A75" s="170" t="s">
        <v>975</v>
      </c>
      <c r="B75" s="171" t="s">
        <v>975</v>
      </c>
      <c r="C75" s="171" t="s">
        <v>975</v>
      </c>
      <c r="D75" s="171" t="s">
        <v>667</v>
      </c>
      <c r="E75" s="171" t="s">
        <v>668</v>
      </c>
      <c r="F75" s="171" t="s">
        <v>669</v>
      </c>
      <c r="G75" s="171" t="s">
        <v>670</v>
      </c>
      <c r="H75" s="195">
        <v>4.0465999999999998</v>
      </c>
      <c r="I75" s="171" t="s">
        <v>671</v>
      </c>
      <c r="J75" s="57">
        <v>1</v>
      </c>
      <c r="K75" s="172">
        <v>2021</v>
      </c>
      <c r="L75" s="173" t="s">
        <v>976</v>
      </c>
      <c r="M75" s="173" t="s">
        <v>977</v>
      </c>
      <c r="N75" s="174" t="s">
        <v>978</v>
      </c>
      <c r="O75" s="171" t="s">
        <v>2489</v>
      </c>
      <c r="P75" s="171" t="s">
        <v>675</v>
      </c>
      <c r="Q75" s="209">
        <v>1982</v>
      </c>
      <c r="R75" s="171">
        <v>4</v>
      </c>
      <c r="S75" s="171"/>
      <c r="T75" s="173"/>
      <c r="U75" s="171"/>
      <c r="V75" s="171"/>
      <c r="W75" s="171"/>
      <c r="X75" s="57">
        <v>0</v>
      </c>
      <c r="Y75" s="172">
        <v>2</v>
      </c>
      <c r="Z75" s="175" t="s">
        <v>676</v>
      </c>
      <c r="AA75" s="176">
        <v>2021</v>
      </c>
      <c r="AB75" s="176">
        <v>8</v>
      </c>
      <c r="AC75" s="176">
        <v>4</v>
      </c>
      <c r="AD75" s="177" t="b">
        <f>IF(ISBLANK(GroupMember[[#This Row],[1. Identifiant interne d’exploitation agricole*]]),"",IF(ISERROR(MATCH(GroupMember[[#This Row],[1. Identifiant interne d’exploitation agricole*]],CertifiedCrop[1. Identifiant interne d’exploitation agricole*],0)),FALSE,TRUE))</f>
        <v>1</v>
      </c>
      <c r="AE75" s="177" t="b">
        <f>IF(ISBLANK(GroupMember[[#This Row],[1. Identifiant interne d’exploitation agricole*]]),"",IF(ISERROR(MATCH(GroupMember[[#This Row],[1. Identifiant interne d’exploitation agricole*]],FarmUnit[1. Identifiant interne d’exploitation agricole*],0)),FALSE,TRUE))</f>
        <v>1</v>
      </c>
      <c r="AF75" s="178" t="str">
        <f t="shared" si="4"/>
        <v>RAKISTA SOUMAILA</v>
      </c>
      <c r="AG75" s="179" t="str">
        <f t="shared" si="5"/>
        <v>4/8/2021</v>
      </c>
      <c r="AH75" s="180">
        <f t="shared" si="7"/>
        <v>6</v>
      </c>
      <c r="AI75" s="181">
        <f t="shared" si="6"/>
        <v>0.16666666666666666</v>
      </c>
    </row>
    <row r="76" spans="1:35" ht="15">
      <c r="A76" s="170" t="s">
        <v>979</v>
      </c>
      <c r="B76" s="171" t="s">
        <v>979</v>
      </c>
      <c r="C76" s="171" t="s">
        <v>979</v>
      </c>
      <c r="D76" s="171" t="s">
        <v>667</v>
      </c>
      <c r="E76" s="171" t="s">
        <v>668</v>
      </c>
      <c r="F76" s="171" t="s">
        <v>669</v>
      </c>
      <c r="G76" s="171" t="s">
        <v>670</v>
      </c>
      <c r="H76" s="195">
        <v>3.2574000000000001</v>
      </c>
      <c r="I76" s="171" t="s">
        <v>671</v>
      </c>
      <c r="J76" s="57">
        <v>1</v>
      </c>
      <c r="K76" s="172">
        <v>2021</v>
      </c>
      <c r="L76" s="173" t="s">
        <v>749</v>
      </c>
      <c r="M76" s="173" t="s">
        <v>980</v>
      </c>
      <c r="N76" s="174" t="s">
        <v>981</v>
      </c>
      <c r="O76" s="171" t="s">
        <v>2490</v>
      </c>
      <c r="P76" s="171" t="s">
        <v>675</v>
      </c>
      <c r="Q76" s="209">
        <v>1993</v>
      </c>
      <c r="R76" s="171">
        <v>1</v>
      </c>
      <c r="S76" s="171"/>
      <c r="T76" s="173"/>
      <c r="U76" s="171"/>
      <c r="V76" s="171"/>
      <c r="W76" s="171"/>
      <c r="X76" s="57">
        <v>0</v>
      </c>
      <c r="Y76" s="172">
        <v>2</v>
      </c>
      <c r="Z76" s="175" t="s">
        <v>676</v>
      </c>
      <c r="AA76" s="176">
        <v>2021</v>
      </c>
      <c r="AB76" s="176">
        <v>7</v>
      </c>
      <c r="AC76" s="176">
        <v>19</v>
      </c>
      <c r="AD76" s="177" t="b">
        <f>IF(ISBLANK(GroupMember[[#This Row],[1. Identifiant interne d’exploitation agricole*]]),"",IF(ISERROR(MATCH(GroupMember[[#This Row],[1. Identifiant interne d’exploitation agricole*]],CertifiedCrop[1. Identifiant interne d’exploitation agricole*],0)),FALSE,TRUE))</f>
        <v>1</v>
      </c>
      <c r="AE76" s="177" t="b">
        <f>IF(ISBLANK(GroupMember[[#This Row],[1. Identifiant interne d’exploitation agricole*]]),"",IF(ISERROR(MATCH(GroupMember[[#This Row],[1. Identifiant interne d’exploitation agricole*]],FarmUnit[1. Identifiant interne d’exploitation agricole*],0)),FALSE,TRUE))</f>
        <v>1</v>
      </c>
      <c r="AF76" s="178" t="str">
        <f t="shared" si="4"/>
        <v>SAWADOGO  OUSMANE</v>
      </c>
      <c r="AG76" s="179" t="str">
        <f t="shared" si="5"/>
        <v>19/7/2021</v>
      </c>
      <c r="AH76" s="180">
        <f t="shared" si="7"/>
        <v>6</v>
      </c>
      <c r="AI76" s="181">
        <f t="shared" si="6"/>
        <v>0.16666666666666666</v>
      </c>
    </row>
    <row r="77" spans="1:35" ht="15">
      <c r="A77" s="170" t="s">
        <v>982</v>
      </c>
      <c r="B77" s="171" t="s">
        <v>982</v>
      </c>
      <c r="C77" s="171" t="s">
        <v>982</v>
      </c>
      <c r="D77" s="171" t="s">
        <v>667</v>
      </c>
      <c r="E77" s="171" t="s">
        <v>668</v>
      </c>
      <c r="F77" s="171" t="s">
        <v>669</v>
      </c>
      <c r="G77" s="171" t="s">
        <v>670</v>
      </c>
      <c r="H77" s="195">
        <v>3.3408000000000002</v>
      </c>
      <c r="I77" s="171" t="s">
        <v>671</v>
      </c>
      <c r="J77" s="57">
        <v>1</v>
      </c>
      <c r="K77" s="172">
        <v>2021</v>
      </c>
      <c r="L77" s="173" t="s">
        <v>983</v>
      </c>
      <c r="M77" s="173" t="s">
        <v>912</v>
      </c>
      <c r="N77" s="174" t="s">
        <v>984</v>
      </c>
      <c r="O77" s="57" t="s">
        <v>1849</v>
      </c>
      <c r="P77" s="171" t="s">
        <v>675</v>
      </c>
      <c r="Q77" s="209">
        <v>1993</v>
      </c>
      <c r="R77" s="171">
        <v>5</v>
      </c>
      <c r="S77" s="171"/>
      <c r="T77" s="173"/>
      <c r="U77" s="171"/>
      <c r="V77" s="171"/>
      <c r="W77" s="171"/>
      <c r="X77" s="57">
        <v>0</v>
      </c>
      <c r="Y77" s="172">
        <v>2</v>
      </c>
      <c r="Z77" s="175" t="s">
        <v>676</v>
      </c>
      <c r="AA77" s="176">
        <v>2021</v>
      </c>
      <c r="AB77" s="176">
        <v>8</v>
      </c>
      <c r="AC77" s="176">
        <v>10</v>
      </c>
      <c r="AD77" s="177" t="b">
        <f>IF(ISBLANK(GroupMember[[#This Row],[1. Identifiant interne d’exploitation agricole*]]),"",IF(ISERROR(MATCH(GroupMember[[#This Row],[1. Identifiant interne d’exploitation agricole*]],CertifiedCrop[1. Identifiant interne d’exploitation agricole*],0)),FALSE,TRUE))</f>
        <v>1</v>
      </c>
      <c r="AE77" s="177" t="b">
        <f>IF(ISBLANK(GroupMember[[#This Row],[1. Identifiant interne d’exploitation agricole*]]),"",IF(ISERROR(MATCH(GroupMember[[#This Row],[1. Identifiant interne d’exploitation agricole*]],FarmUnit[1. Identifiant interne d’exploitation agricole*],0)),FALSE,TRUE))</f>
        <v>1</v>
      </c>
      <c r="AF77" s="178" t="str">
        <f t="shared" si="4"/>
        <v>ZABRE SOULEYMANE</v>
      </c>
      <c r="AG77" s="179" t="str">
        <f t="shared" si="5"/>
        <v>10/8/2021</v>
      </c>
      <c r="AH77" s="180">
        <f t="shared" si="7"/>
        <v>4</v>
      </c>
      <c r="AI77" s="181">
        <f t="shared" si="6"/>
        <v>0.16666666666666666</v>
      </c>
    </row>
    <row r="78" spans="1:35" ht="15">
      <c r="A78" s="170" t="s">
        <v>985</v>
      </c>
      <c r="B78" s="171" t="s">
        <v>985</v>
      </c>
      <c r="C78" s="171" t="s">
        <v>985</v>
      </c>
      <c r="D78" s="171" t="s">
        <v>667</v>
      </c>
      <c r="E78" s="171" t="s">
        <v>668</v>
      </c>
      <c r="F78" s="171" t="s">
        <v>669</v>
      </c>
      <c r="G78" s="171" t="s">
        <v>670</v>
      </c>
      <c r="H78" s="195">
        <v>6.0862999999999996</v>
      </c>
      <c r="I78" s="171" t="s">
        <v>671</v>
      </c>
      <c r="J78" s="57">
        <v>1</v>
      </c>
      <c r="K78" s="172">
        <v>2021</v>
      </c>
      <c r="L78" s="173" t="s">
        <v>986</v>
      </c>
      <c r="M78" s="173" t="s">
        <v>987</v>
      </c>
      <c r="N78" s="174" t="s">
        <v>988</v>
      </c>
      <c r="O78" s="57" t="s">
        <v>1850</v>
      </c>
      <c r="P78" s="171" t="s">
        <v>675</v>
      </c>
      <c r="Q78" s="209">
        <v>1979</v>
      </c>
      <c r="R78" s="171">
        <v>11</v>
      </c>
      <c r="S78" s="171"/>
      <c r="T78" s="173"/>
      <c r="U78" s="171"/>
      <c r="V78" s="171"/>
      <c r="W78" s="171"/>
      <c r="X78" s="57">
        <v>0</v>
      </c>
      <c r="Y78" s="172">
        <v>2</v>
      </c>
      <c r="Z78" s="175" t="s">
        <v>676</v>
      </c>
      <c r="AA78" s="176">
        <v>2021</v>
      </c>
      <c r="AB78" s="176">
        <v>7</v>
      </c>
      <c r="AC78" s="176">
        <v>7</v>
      </c>
      <c r="AD78" s="177" t="b">
        <f>IF(ISBLANK(GroupMember[[#This Row],[1. Identifiant interne d’exploitation agricole*]]),"",IF(ISERROR(MATCH(GroupMember[[#This Row],[1. Identifiant interne d’exploitation agricole*]],CertifiedCrop[1. Identifiant interne d’exploitation agricole*],0)),FALSE,TRUE))</f>
        <v>1</v>
      </c>
      <c r="AE78" s="177" t="b">
        <f>IF(ISBLANK(GroupMember[[#This Row],[1. Identifiant interne d’exploitation agricole*]]),"",IF(ISERROR(MATCH(GroupMember[[#This Row],[1. Identifiant interne d’exploitation agricole*]],FarmUnit[1. Identifiant interne d’exploitation agricole*],0)),FALSE,TRUE))</f>
        <v>1</v>
      </c>
      <c r="AF78" s="178" t="str">
        <f t="shared" si="4"/>
        <v>NABI AUGUSTIN</v>
      </c>
      <c r="AG78" s="179" t="str">
        <f t="shared" si="5"/>
        <v>7/7/2021</v>
      </c>
      <c r="AH78" s="180">
        <f t="shared" si="7"/>
        <v>6</v>
      </c>
      <c r="AI78" s="181">
        <f t="shared" si="6"/>
        <v>0.16666666666666666</v>
      </c>
    </row>
    <row r="79" spans="1:35" ht="15">
      <c r="A79" s="170" t="s">
        <v>989</v>
      </c>
      <c r="B79" s="171" t="s">
        <v>989</v>
      </c>
      <c r="C79" s="171" t="s">
        <v>989</v>
      </c>
      <c r="D79" s="171" t="s">
        <v>667</v>
      </c>
      <c r="E79" s="171" t="s">
        <v>668</v>
      </c>
      <c r="F79" s="171" t="s">
        <v>669</v>
      </c>
      <c r="G79" s="171" t="s">
        <v>670</v>
      </c>
      <c r="H79" s="195">
        <v>4.6708999999999996</v>
      </c>
      <c r="I79" s="171" t="s">
        <v>671</v>
      </c>
      <c r="J79" s="57">
        <v>1</v>
      </c>
      <c r="K79" s="172">
        <v>2021</v>
      </c>
      <c r="L79" s="173" t="s">
        <v>773</v>
      </c>
      <c r="M79" s="173" t="s">
        <v>990</v>
      </c>
      <c r="N79" s="174" t="s">
        <v>991</v>
      </c>
      <c r="O79" s="171" t="s">
        <v>2491</v>
      </c>
      <c r="P79" s="171" t="s">
        <v>675</v>
      </c>
      <c r="Q79" s="209">
        <v>1964</v>
      </c>
      <c r="R79" s="171">
        <v>7</v>
      </c>
      <c r="S79" s="171"/>
      <c r="T79" s="173"/>
      <c r="U79" s="171"/>
      <c r="V79" s="171"/>
      <c r="W79" s="171"/>
      <c r="X79" s="57">
        <v>0</v>
      </c>
      <c r="Y79" s="172">
        <v>2</v>
      </c>
      <c r="Z79" s="175" t="s">
        <v>676</v>
      </c>
      <c r="AA79" s="176">
        <v>2021</v>
      </c>
      <c r="AB79" s="176">
        <v>7</v>
      </c>
      <c r="AC79" s="176">
        <v>30</v>
      </c>
      <c r="AD79" s="177" t="b">
        <f>IF(ISBLANK(GroupMember[[#This Row],[1. Identifiant interne d’exploitation agricole*]]),"",IF(ISERROR(MATCH(GroupMember[[#This Row],[1. Identifiant interne d’exploitation agricole*]],CertifiedCrop[1. Identifiant interne d’exploitation agricole*],0)),FALSE,TRUE))</f>
        <v>1</v>
      </c>
      <c r="AE79" s="177" t="b">
        <f>IF(ISBLANK(GroupMember[[#This Row],[1. Identifiant interne d’exploitation agricole*]]),"",IF(ISERROR(MATCH(GroupMember[[#This Row],[1. Identifiant interne d’exploitation agricole*]],FarmUnit[1. Identifiant interne d’exploitation agricole*],0)),FALSE,TRUE))</f>
        <v>1</v>
      </c>
      <c r="AF79" s="178" t="str">
        <f t="shared" si="4"/>
        <v>ZONGO YAMBA</v>
      </c>
      <c r="AG79" s="179" t="str">
        <f t="shared" si="5"/>
        <v>30/7/2021</v>
      </c>
      <c r="AH79" s="180">
        <f t="shared" si="7"/>
        <v>6</v>
      </c>
      <c r="AI79" s="181">
        <f t="shared" si="6"/>
        <v>0.16666666666666666</v>
      </c>
    </row>
    <row r="80" spans="1:35" ht="15">
      <c r="A80" s="170" t="s">
        <v>970</v>
      </c>
      <c r="B80" s="171" t="s">
        <v>970</v>
      </c>
      <c r="C80" s="171" t="s">
        <v>970</v>
      </c>
      <c r="D80" s="171" t="s">
        <v>667</v>
      </c>
      <c r="E80" s="171" t="s">
        <v>668</v>
      </c>
      <c r="F80" s="171" t="s">
        <v>669</v>
      </c>
      <c r="G80" s="171" t="s">
        <v>670</v>
      </c>
      <c r="H80" s="195">
        <v>2.8342000000000001</v>
      </c>
      <c r="I80" s="171" t="s">
        <v>671</v>
      </c>
      <c r="J80" s="57">
        <v>1</v>
      </c>
      <c r="K80" s="172">
        <v>2021</v>
      </c>
      <c r="L80" s="173" t="s">
        <v>898</v>
      </c>
      <c r="M80" s="173" t="s">
        <v>992</v>
      </c>
      <c r="N80" s="174" t="s">
        <v>993</v>
      </c>
      <c r="O80" s="57" t="s">
        <v>1831</v>
      </c>
      <c r="P80" s="171" t="s">
        <v>675</v>
      </c>
      <c r="Q80" s="209">
        <v>1983</v>
      </c>
      <c r="R80" s="171">
        <v>7</v>
      </c>
      <c r="S80" s="171"/>
      <c r="T80" s="173"/>
      <c r="U80" s="171"/>
      <c r="V80" s="171"/>
      <c r="W80" s="171"/>
      <c r="X80" s="57">
        <v>0</v>
      </c>
      <c r="Y80" s="172">
        <v>2</v>
      </c>
      <c r="Z80" s="175" t="s">
        <v>676</v>
      </c>
      <c r="AA80" s="176">
        <v>2021</v>
      </c>
      <c r="AB80" s="176">
        <v>7</v>
      </c>
      <c r="AC80" s="176">
        <v>22</v>
      </c>
      <c r="AD80" s="177" t="b">
        <f>IF(ISBLANK(GroupMember[[#This Row],[1. Identifiant interne d’exploitation agricole*]]),"",IF(ISERROR(MATCH(GroupMember[[#This Row],[1. Identifiant interne d’exploitation agricole*]],CertifiedCrop[1. Identifiant interne d’exploitation agricole*],0)),FALSE,TRUE))</f>
        <v>1</v>
      </c>
      <c r="AE80" s="177" t="b">
        <f>IF(ISBLANK(GroupMember[[#This Row],[1. Identifiant interne d’exploitation agricole*]]),"",IF(ISERROR(MATCH(GroupMember[[#This Row],[1. Identifiant interne d’exploitation agricole*]],FarmUnit[1. Identifiant interne d’exploitation agricole*],0)),FALSE,TRUE))</f>
        <v>1</v>
      </c>
      <c r="AF80" s="178" t="str">
        <f t="shared" si="4"/>
        <v>PAGBELGUEM JOSEPH</v>
      </c>
      <c r="AG80" s="179" t="str">
        <f t="shared" si="5"/>
        <v>22/7/2021</v>
      </c>
      <c r="AH80" s="180">
        <f t="shared" si="7"/>
        <v>6</v>
      </c>
      <c r="AI80" s="181">
        <f t="shared" si="6"/>
        <v>0.16666666666666666</v>
      </c>
    </row>
    <row r="81" spans="1:35" ht="15">
      <c r="A81" s="170" t="s">
        <v>994</v>
      </c>
      <c r="B81" s="171" t="s">
        <v>994</v>
      </c>
      <c r="C81" s="171" t="s">
        <v>994</v>
      </c>
      <c r="D81" s="171" t="s">
        <v>667</v>
      </c>
      <c r="E81" s="171" t="s">
        <v>668</v>
      </c>
      <c r="F81" s="171" t="s">
        <v>669</v>
      </c>
      <c r="G81" s="171" t="s">
        <v>670</v>
      </c>
      <c r="H81" s="195">
        <v>4.1499000000000006</v>
      </c>
      <c r="I81" s="171" t="s">
        <v>671</v>
      </c>
      <c r="J81" s="57">
        <v>1</v>
      </c>
      <c r="K81" s="172">
        <v>2021</v>
      </c>
      <c r="L81" s="173" t="s">
        <v>898</v>
      </c>
      <c r="M81" s="173" t="s">
        <v>995</v>
      </c>
      <c r="N81" s="174" t="s">
        <v>996</v>
      </c>
      <c r="O81" s="171" t="s">
        <v>2492</v>
      </c>
      <c r="P81" s="171" t="s">
        <v>675</v>
      </c>
      <c r="Q81" s="209">
        <v>1975</v>
      </c>
      <c r="R81" s="171">
        <v>6</v>
      </c>
      <c r="S81" s="171"/>
      <c r="T81" s="173"/>
      <c r="U81" s="171"/>
      <c r="V81" s="171"/>
      <c r="W81" s="171"/>
      <c r="X81" s="57">
        <v>0</v>
      </c>
      <c r="Y81" s="172">
        <v>2</v>
      </c>
      <c r="Z81" s="175" t="s">
        <v>676</v>
      </c>
      <c r="AA81" s="176">
        <v>2021</v>
      </c>
      <c r="AB81" s="176">
        <v>8</v>
      </c>
      <c r="AC81" s="176">
        <v>5</v>
      </c>
      <c r="AD81" s="177" t="b">
        <f>IF(ISBLANK(GroupMember[[#This Row],[1. Identifiant interne d’exploitation agricole*]]),"",IF(ISERROR(MATCH(GroupMember[[#This Row],[1. Identifiant interne d’exploitation agricole*]],CertifiedCrop[1. Identifiant interne d’exploitation agricole*],0)),FALSE,TRUE))</f>
        <v>1</v>
      </c>
      <c r="AE81" s="177" t="b">
        <f>IF(ISBLANK(GroupMember[[#This Row],[1. Identifiant interne d’exploitation agricole*]]),"",IF(ISERROR(MATCH(GroupMember[[#This Row],[1. Identifiant interne d’exploitation agricole*]],FarmUnit[1. Identifiant interne d’exploitation agricole*],0)),FALSE,TRUE))</f>
        <v>1</v>
      </c>
      <c r="AF81" s="178" t="str">
        <f t="shared" si="4"/>
        <v>PAGBELGUEM OUAOGABA</v>
      </c>
      <c r="AG81" s="179" t="str">
        <f t="shared" si="5"/>
        <v>5/8/2021</v>
      </c>
      <c r="AH81" s="180">
        <f t="shared" si="7"/>
        <v>4</v>
      </c>
      <c r="AI81" s="181">
        <f t="shared" si="6"/>
        <v>0.16666666666666666</v>
      </c>
    </row>
    <row r="82" spans="1:35" ht="15">
      <c r="A82" s="170" t="s">
        <v>997</v>
      </c>
      <c r="B82" s="171" t="s">
        <v>997</v>
      </c>
      <c r="C82" s="171" t="s">
        <v>997</v>
      </c>
      <c r="D82" s="171" t="s">
        <v>667</v>
      </c>
      <c r="E82" s="171" t="s">
        <v>668</v>
      </c>
      <c r="F82" s="171" t="s">
        <v>669</v>
      </c>
      <c r="G82" s="171" t="s">
        <v>670</v>
      </c>
      <c r="H82" s="195">
        <v>6.4744999999999999</v>
      </c>
      <c r="I82" s="171" t="s">
        <v>671</v>
      </c>
      <c r="J82" s="57">
        <v>1</v>
      </c>
      <c r="K82" s="172">
        <v>2021</v>
      </c>
      <c r="L82" s="173" t="s">
        <v>898</v>
      </c>
      <c r="M82" s="173" t="s">
        <v>998</v>
      </c>
      <c r="N82" s="174" t="s">
        <v>999</v>
      </c>
      <c r="O82" s="171" t="s">
        <v>2493</v>
      </c>
      <c r="P82" s="171" t="s">
        <v>675</v>
      </c>
      <c r="Q82" s="209">
        <v>1990</v>
      </c>
      <c r="R82" s="171">
        <v>5</v>
      </c>
      <c r="S82" s="171"/>
      <c r="T82" s="173"/>
      <c r="U82" s="171"/>
      <c r="V82" s="171"/>
      <c r="W82" s="171"/>
      <c r="X82" s="57">
        <v>0</v>
      </c>
      <c r="Y82" s="172">
        <v>2</v>
      </c>
      <c r="Z82" s="175" t="s">
        <v>676</v>
      </c>
      <c r="AA82" s="176">
        <v>2021</v>
      </c>
      <c r="AB82" s="176">
        <v>7</v>
      </c>
      <c r="AC82" s="176">
        <v>13</v>
      </c>
      <c r="AD82" s="177" t="b">
        <f>IF(ISBLANK(GroupMember[[#This Row],[1. Identifiant interne d’exploitation agricole*]]),"",IF(ISERROR(MATCH(GroupMember[[#This Row],[1. Identifiant interne d’exploitation agricole*]],CertifiedCrop[1. Identifiant interne d’exploitation agricole*],0)),FALSE,TRUE))</f>
        <v>1</v>
      </c>
      <c r="AE82" s="177" t="b">
        <f>IF(ISBLANK(GroupMember[[#This Row],[1. Identifiant interne d’exploitation agricole*]]),"",IF(ISERROR(MATCH(GroupMember[[#This Row],[1. Identifiant interne d’exploitation agricole*]],FarmUnit[1. Identifiant interne d’exploitation agricole*],0)),FALSE,TRUE))</f>
        <v>1</v>
      </c>
      <c r="AF82" s="178" t="str">
        <f t="shared" si="4"/>
        <v>PAGBELGUEM MAURICE</v>
      </c>
      <c r="AG82" s="179" t="str">
        <f t="shared" si="5"/>
        <v>13/7/2021</v>
      </c>
      <c r="AH82" s="180">
        <f t="shared" si="7"/>
        <v>6</v>
      </c>
      <c r="AI82" s="181">
        <f t="shared" si="6"/>
        <v>0.16666666666666666</v>
      </c>
    </row>
    <row r="83" spans="1:35" ht="15">
      <c r="A83" s="170" t="s">
        <v>1000</v>
      </c>
      <c r="B83" s="171" t="s">
        <v>1000</v>
      </c>
      <c r="C83" s="171" t="s">
        <v>1000</v>
      </c>
      <c r="D83" s="171" t="s">
        <v>667</v>
      </c>
      <c r="E83" s="171" t="s">
        <v>668</v>
      </c>
      <c r="F83" s="171" t="s">
        <v>669</v>
      </c>
      <c r="G83" s="171" t="s">
        <v>670</v>
      </c>
      <c r="H83" s="195">
        <v>1.9431</v>
      </c>
      <c r="I83" s="171" t="s">
        <v>671</v>
      </c>
      <c r="J83" s="57">
        <v>1</v>
      </c>
      <c r="K83" s="172">
        <v>2021</v>
      </c>
      <c r="L83" s="173" t="s">
        <v>1001</v>
      </c>
      <c r="M83" s="173" t="s">
        <v>1002</v>
      </c>
      <c r="N83" s="174" t="s">
        <v>1003</v>
      </c>
      <c r="O83" s="171" t="s">
        <v>1004</v>
      </c>
      <c r="P83" s="171" t="s">
        <v>675</v>
      </c>
      <c r="Q83" s="209">
        <v>1988</v>
      </c>
      <c r="R83" s="171">
        <v>7</v>
      </c>
      <c r="S83" s="171"/>
      <c r="T83" s="173"/>
      <c r="U83" s="171"/>
      <c r="V83" s="171"/>
      <c r="W83" s="171"/>
      <c r="X83" s="57">
        <v>0</v>
      </c>
      <c r="Y83" s="172">
        <v>2</v>
      </c>
      <c r="Z83" s="175" t="s">
        <v>676</v>
      </c>
      <c r="AA83" s="176">
        <v>2021</v>
      </c>
      <c r="AB83" s="176">
        <v>8</v>
      </c>
      <c r="AC83" s="176">
        <v>4</v>
      </c>
      <c r="AD83" s="177" t="b">
        <f>IF(ISBLANK(GroupMember[[#This Row],[1. Identifiant interne d’exploitation agricole*]]),"",IF(ISERROR(MATCH(GroupMember[[#This Row],[1. Identifiant interne d’exploitation agricole*]],CertifiedCrop[1. Identifiant interne d’exploitation agricole*],0)),FALSE,TRUE))</f>
        <v>1</v>
      </c>
      <c r="AE83" s="177" t="b">
        <f>IF(ISBLANK(GroupMember[[#This Row],[1. Identifiant interne d’exploitation agricole*]]),"",IF(ISERROR(MATCH(GroupMember[[#This Row],[1. Identifiant interne d’exploitation agricole*]],FarmUnit[1. Identifiant interne d’exploitation agricole*],0)),FALSE,TRUE))</f>
        <v>1</v>
      </c>
      <c r="AF83" s="178" t="str">
        <f t="shared" si="4"/>
        <v>KONAN KOUAKOU FRANCIS</v>
      </c>
      <c r="AG83" s="179" t="str">
        <f t="shared" si="5"/>
        <v>4/8/2021</v>
      </c>
      <c r="AH83" s="180">
        <f t="shared" si="7"/>
        <v>6</v>
      </c>
      <c r="AI83" s="181">
        <f t="shared" si="6"/>
        <v>0.16666666666666666</v>
      </c>
    </row>
    <row r="84" spans="1:35" ht="15">
      <c r="A84" s="170" t="s">
        <v>1005</v>
      </c>
      <c r="B84" s="171" t="s">
        <v>1005</v>
      </c>
      <c r="C84" s="171" t="s">
        <v>1005</v>
      </c>
      <c r="D84" s="171" t="s">
        <v>667</v>
      </c>
      <c r="E84" s="171" t="s">
        <v>668</v>
      </c>
      <c r="F84" s="171" t="s">
        <v>669</v>
      </c>
      <c r="G84" s="171" t="s">
        <v>670</v>
      </c>
      <c r="H84" s="195">
        <v>2.3478000000000003</v>
      </c>
      <c r="I84" s="171" t="s">
        <v>671</v>
      </c>
      <c r="J84" s="57">
        <v>1</v>
      </c>
      <c r="K84" s="172">
        <v>2021</v>
      </c>
      <c r="L84" s="173" t="s">
        <v>1001</v>
      </c>
      <c r="M84" s="173" t="s">
        <v>1006</v>
      </c>
      <c r="N84" s="174" t="s">
        <v>1007</v>
      </c>
      <c r="O84" s="57" t="s">
        <v>2494</v>
      </c>
      <c r="P84" s="171" t="s">
        <v>675</v>
      </c>
      <c r="Q84" s="209">
        <v>1978</v>
      </c>
      <c r="R84" s="171">
        <v>8</v>
      </c>
      <c r="S84" s="171"/>
      <c r="T84" s="173"/>
      <c r="U84" s="171"/>
      <c r="V84" s="171"/>
      <c r="W84" s="171"/>
      <c r="X84" s="57">
        <v>0</v>
      </c>
      <c r="Y84" s="172">
        <v>2</v>
      </c>
      <c r="Z84" s="175" t="s">
        <v>676</v>
      </c>
      <c r="AA84" s="176">
        <v>2021</v>
      </c>
      <c r="AB84" s="176">
        <v>7</v>
      </c>
      <c r="AC84" s="176">
        <v>5</v>
      </c>
      <c r="AD84" s="177" t="b">
        <f>IF(ISBLANK(GroupMember[[#This Row],[1. Identifiant interne d’exploitation agricole*]]),"",IF(ISERROR(MATCH(GroupMember[[#This Row],[1. Identifiant interne d’exploitation agricole*]],CertifiedCrop[1. Identifiant interne d’exploitation agricole*],0)),FALSE,TRUE))</f>
        <v>1</v>
      </c>
      <c r="AE84" s="177" t="b">
        <f>IF(ISBLANK(GroupMember[[#This Row],[1. Identifiant interne d’exploitation agricole*]]),"",IF(ISERROR(MATCH(GroupMember[[#This Row],[1. Identifiant interne d’exploitation agricole*]],FarmUnit[1. Identifiant interne d’exploitation agricole*],0)),FALSE,TRUE))</f>
        <v>1</v>
      </c>
      <c r="AF84" s="178" t="str">
        <f t="shared" si="4"/>
        <v>KONAN KOFFI JUSTIN</v>
      </c>
      <c r="AG84" s="179" t="str">
        <f t="shared" si="5"/>
        <v>5/7/2021</v>
      </c>
      <c r="AH84" s="180">
        <f t="shared" si="7"/>
        <v>5</v>
      </c>
      <c r="AI84" s="181">
        <f t="shared" si="6"/>
        <v>0.16666666666666666</v>
      </c>
    </row>
    <row r="85" spans="1:35" ht="15">
      <c r="A85" s="170" t="s">
        <v>1008</v>
      </c>
      <c r="B85" s="171" t="s">
        <v>1008</v>
      </c>
      <c r="C85" s="171" t="s">
        <v>1008</v>
      </c>
      <c r="D85" s="171" t="s">
        <v>667</v>
      </c>
      <c r="E85" s="171" t="s">
        <v>668</v>
      </c>
      <c r="F85" s="171" t="s">
        <v>669</v>
      </c>
      <c r="G85" s="171" t="s">
        <v>670</v>
      </c>
      <c r="H85" s="195">
        <v>1.6651</v>
      </c>
      <c r="I85" s="171" t="s">
        <v>671</v>
      </c>
      <c r="J85" s="57">
        <v>1</v>
      </c>
      <c r="K85" s="172">
        <v>2021</v>
      </c>
      <c r="L85" s="173" t="s">
        <v>830</v>
      </c>
      <c r="M85" s="173" t="s">
        <v>954</v>
      </c>
      <c r="N85" s="174" t="s">
        <v>1009</v>
      </c>
      <c r="O85" s="171" t="s">
        <v>2495</v>
      </c>
      <c r="P85" s="171" t="s">
        <v>675</v>
      </c>
      <c r="Q85" s="209">
        <v>1992</v>
      </c>
      <c r="R85" s="171">
        <v>4</v>
      </c>
      <c r="S85" s="171"/>
      <c r="T85" s="173"/>
      <c r="U85" s="171"/>
      <c r="V85" s="171"/>
      <c r="W85" s="171"/>
      <c r="X85" s="57">
        <v>0</v>
      </c>
      <c r="Y85" s="172">
        <v>2</v>
      </c>
      <c r="Z85" s="175" t="s">
        <v>676</v>
      </c>
      <c r="AA85" s="176">
        <v>2021</v>
      </c>
      <c r="AB85" s="176">
        <v>8</v>
      </c>
      <c r="AC85" s="176">
        <v>10</v>
      </c>
      <c r="AD85" s="177" t="b">
        <f>IF(ISBLANK(GroupMember[[#This Row],[1. Identifiant interne d’exploitation agricole*]]),"",IF(ISERROR(MATCH(GroupMember[[#This Row],[1. Identifiant interne d’exploitation agricole*]],CertifiedCrop[1. Identifiant interne d’exploitation agricole*],0)),FALSE,TRUE))</f>
        <v>1</v>
      </c>
      <c r="AE85" s="177" t="b">
        <f>IF(ISBLANK(GroupMember[[#This Row],[1. Identifiant interne d’exploitation agricole*]]),"",IF(ISERROR(MATCH(GroupMember[[#This Row],[1. Identifiant interne d’exploitation agricole*]],FarmUnit[1. Identifiant interne d’exploitation agricole*],0)),FALSE,TRUE))</f>
        <v>1</v>
      </c>
      <c r="AF85" s="178" t="str">
        <f t="shared" si="4"/>
        <v>SABA ADAMA</v>
      </c>
      <c r="AG85" s="179" t="str">
        <f t="shared" si="5"/>
        <v>10/8/2021</v>
      </c>
      <c r="AH85" s="180">
        <f t="shared" si="7"/>
        <v>4</v>
      </c>
      <c r="AI85" s="181">
        <f t="shared" si="6"/>
        <v>0.16666666666666666</v>
      </c>
    </row>
    <row r="86" spans="1:35" ht="15">
      <c r="A86" s="170" t="s">
        <v>1010</v>
      </c>
      <c r="B86" s="171" t="s">
        <v>1010</v>
      </c>
      <c r="C86" s="171" t="s">
        <v>1010</v>
      </c>
      <c r="D86" s="171" t="s">
        <v>667</v>
      </c>
      <c r="E86" s="171" t="s">
        <v>668</v>
      </c>
      <c r="F86" s="171" t="s">
        <v>669</v>
      </c>
      <c r="G86" s="171" t="s">
        <v>670</v>
      </c>
      <c r="H86" s="195">
        <v>3.1225999999999998</v>
      </c>
      <c r="I86" s="171" t="s">
        <v>671</v>
      </c>
      <c r="J86" s="57">
        <v>1</v>
      </c>
      <c r="K86" s="172">
        <v>2021</v>
      </c>
      <c r="L86" s="173" t="s">
        <v>1011</v>
      </c>
      <c r="M86" s="173" t="s">
        <v>954</v>
      </c>
      <c r="N86" s="174" t="s">
        <v>1012</v>
      </c>
      <c r="O86" s="171" t="s">
        <v>1013</v>
      </c>
      <c r="P86" s="171" t="s">
        <v>675</v>
      </c>
      <c r="Q86" s="209">
        <v>1983</v>
      </c>
      <c r="R86" s="171">
        <v>6</v>
      </c>
      <c r="S86" s="171"/>
      <c r="T86" s="173"/>
      <c r="U86" s="171"/>
      <c r="V86" s="171"/>
      <c r="W86" s="171"/>
      <c r="X86" s="57">
        <v>0</v>
      </c>
      <c r="Y86" s="172">
        <v>2</v>
      </c>
      <c r="Z86" s="175" t="s">
        <v>676</v>
      </c>
      <c r="AA86" s="176">
        <v>2021</v>
      </c>
      <c r="AB86" s="176">
        <v>7</v>
      </c>
      <c r="AC86" s="176">
        <v>15</v>
      </c>
      <c r="AD86" s="177" t="b">
        <f>IF(ISBLANK(GroupMember[[#This Row],[1. Identifiant interne d’exploitation agricole*]]),"",IF(ISERROR(MATCH(GroupMember[[#This Row],[1. Identifiant interne d’exploitation agricole*]],CertifiedCrop[1. Identifiant interne d’exploitation agricole*],0)),FALSE,TRUE))</f>
        <v>1</v>
      </c>
      <c r="AE86" s="177" t="b">
        <f>IF(ISBLANK(GroupMember[[#This Row],[1. Identifiant interne d’exploitation agricole*]]),"",IF(ISERROR(MATCH(GroupMember[[#This Row],[1. Identifiant interne d’exploitation agricole*]],FarmUnit[1. Identifiant interne d’exploitation agricole*],0)),FALSE,TRUE))</f>
        <v>1</v>
      </c>
      <c r="AF86" s="178" t="str">
        <f t="shared" si="4"/>
        <v>KASSONGO ADAMA</v>
      </c>
      <c r="AG86" s="179" t="str">
        <f t="shared" si="5"/>
        <v>15/7/2021</v>
      </c>
      <c r="AH86" s="180">
        <f t="shared" si="7"/>
        <v>6</v>
      </c>
      <c r="AI86" s="181">
        <f t="shared" si="6"/>
        <v>0.16666666666666666</v>
      </c>
    </row>
    <row r="87" spans="1:35" ht="15">
      <c r="A87" s="170" t="s">
        <v>1014</v>
      </c>
      <c r="B87" s="171" t="s">
        <v>1014</v>
      </c>
      <c r="C87" s="171" t="s">
        <v>1014</v>
      </c>
      <c r="D87" s="171" t="s">
        <v>667</v>
      </c>
      <c r="E87" s="171" t="s">
        <v>668</v>
      </c>
      <c r="F87" s="171" t="s">
        <v>669</v>
      </c>
      <c r="G87" s="171" t="s">
        <v>670</v>
      </c>
      <c r="H87" s="195">
        <v>3.8275000000000001</v>
      </c>
      <c r="I87" s="171" t="s">
        <v>671</v>
      </c>
      <c r="J87" s="57">
        <v>1</v>
      </c>
      <c r="K87" s="172">
        <v>2021</v>
      </c>
      <c r="L87" s="173" t="s">
        <v>1011</v>
      </c>
      <c r="M87" s="173" t="s">
        <v>752</v>
      </c>
      <c r="N87" s="174" t="s">
        <v>1015</v>
      </c>
      <c r="O87" s="171" t="s">
        <v>1016</v>
      </c>
      <c r="P87" s="171" t="s">
        <v>675</v>
      </c>
      <c r="Q87" s="209">
        <v>1972</v>
      </c>
      <c r="R87" s="171">
        <v>4</v>
      </c>
      <c r="S87" s="171"/>
      <c r="T87" s="173"/>
      <c r="U87" s="171"/>
      <c r="V87" s="171"/>
      <c r="W87" s="171"/>
      <c r="X87" s="57">
        <v>0</v>
      </c>
      <c r="Y87" s="172">
        <v>2</v>
      </c>
      <c r="Z87" s="175" t="s">
        <v>676</v>
      </c>
      <c r="AA87" s="176">
        <v>2021</v>
      </c>
      <c r="AB87" s="176">
        <v>7</v>
      </c>
      <c r="AC87" s="176">
        <v>26</v>
      </c>
      <c r="AD87" s="177" t="b">
        <f>IF(ISBLANK(GroupMember[[#This Row],[1. Identifiant interne d’exploitation agricole*]]),"",IF(ISERROR(MATCH(GroupMember[[#This Row],[1. Identifiant interne d’exploitation agricole*]],CertifiedCrop[1. Identifiant interne d’exploitation agricole*],0)),FALSE,TRUE))</f>
        <v>1</v>
      </c>
      <c r="AE87" s="177" t="b">
        <f>IF(ISBLANK(GroupMember[[#This Row],[1. Identifiant interne d’exploitation agricole*]]),"",IF(ISERROR(MATCH(GroupMember[[#This Row],[1. Identifiant interne d’exploitation agricole*]],FarmUnit[1. Identifiant interne d’exploitation agricole*],0)),FALSE,TRUE))</f>
        <v>1</v>
      </c>
      <c r="AF87" s="178" t="str">
        <f t="shared" si="4"/>
        <v>KASSONGO SAIDOU</v>
      </c>
      <c r="AG87" s="179" t="str">
        <f t="shared" si="5"/>
        <v>26/7/2021</v>
      </c>
      <c r="AH87" s="180">
        <f t="shared" si="7"/>
        <v>5</v>
      </c>
      <c r="AI87" s="181">
        <f t="shared" si="6"/>
        <v>0.16666666666666666</v>
      </c>
    </row>
    <row r="88" spans="1:35" ht="15">
      <c r="A88" s="170" t="s">
        <v>1017</v>
      </c>
      <c r="B88" s="171" t="s">
        <v>1017</v>
      </c>
      <c r="C88" s="171" t="s">
        <v>1017</v>
      </c>
      <c r="D88" s="171" t="s">
        <v>667</v>
      </c>
      <c r="E88" s="171" t="s">
        <v>668</v>
      </c>
      <c r="F88" s="171" t="s">
        <v>669</v>
      </c>
      <c r="G88" s="171" t="s">
        <v>670</v>
      </c>
      <c r="H88" s="195">
        <v>3.2604000000000002</v>
      </c>
      <c r="I88" s="171" t="s">
        <v>671</v>
      </c>
      <c r="J88" s="57">
        <v>1</v>
      </c>
      <c r="K88" s="172">
        <v>2021</v>
      </c>
      <c r="L88" s="173" t="s">
        <v>749</v>
      </c>
      <c r="M88" s="173" t="s">
        <v>1018</v>
      </c>
      <c r="N88" s="174" t="s">
        <v>1019</v>
      </c>
      <c r="O88" s="171" t="s">
        <v>1020</v>
      </c>
      <c r="P88" s="171" t="s">
        <v>675</v>
      </c>
      <c r="Q88" s="209">
        <v>1974</v>
      </c>
      <c r="R88" s="171">
        <v>1</v>
      </c>
      <c r="S88" s="171"/>
      <c r="T88" s="173"/>
      <c r="U88" s="171"/>
      <c r="V88" s="171"/>
      <c r="W88" s="171"/>
      <c r="X88" s="57">
        <v>0</v>
      </c>
      <c r="Y88" s="172">
        <v>2</v>
      </c>
      <c r="Z88" s="175" t="s">
        <v>676</v>
      </c>
      <c r="AA88" s="176">
        <v>2021</v>
      </c>
      <c r="AB88" s="176">
        <v>7</v>
      </c>
      <c r="AC88" s="176">
        <v>16</v>
      </c>
      <c r="AD88" s="177" t="b">
        <f>IF(ISBLANK(GroupMember[[#This Row],[1. Identifiant interne d’exploitation agricole*]]),"",IF(ISERROR(MATCH(GroupMember[[#This Row],[1. Identifiant interne d’exploitation agricole*]],CertifiedCrop[1. Identifiant interne d’exploitation agricole*],0)),FALSE,TRUE))</f>
        <v>1</v>
      </c>
      <c r="AE88" s="177" t="b">
        <f>IF(ISBLANK(GroupMember[[#This Row],[1. Identifiant interne d’exploitation agricole*]]),"",IF(ISERROR(MATCH(GroupMember[[#This Row],[1. Identifiant interne d’exploitation agricole*]],FarmUnit[1. Identifiant interne d’exploitation agricole*],0)),FALSE,TRUE))</f>
        <v>1</v>
      </c>
      <c r="AF88" s="178" t="str">
        <f t="shared" si="4"/>
        <v>SAWADOGO  DRAMANE</v>
      </c>
      <c r="AG88" s="179" t="str">
        <f t="shared" si="5"/>
        <v>16/7/2021</v>
      </c>
      <c r="AH88" s="180">
        <f t="shared" si="7"/>
        <v>6</v>
      </c>
      <c r="AI88" s="181">
        <f t="shared" si="6"/>
        <v>0.16666666666666666</v>
      </c>
    </row>
    <row r="89" spans="1:35" ht="15">
      <c r="A89" s="170" t="s">
        <v>1021</v>
      </c>
      <c r="B89" s="171" t="s">
        <v>1021</v>
      </c>
      <c r="C89" s="171" t="s">
        <v>1021</v>
      </c>
      <c r="D89" s="171" t="s">
        <v>667</v>
      </c>
      <c r="E89" s="171" t="s">
        <v>668</v>
      </c>
      <c r="F89" s="171" t="s">
        <v>669</v>
      </c>
      <c r="G89" s="171" t="s">
        <v>670</v>
      </c>
      <c r="H89" s="195">
        <v>2.4298000000000002</v>
      </c>
      <c r="I89" s="171" t="s">
        <v>671</v>
      </c>
      <c r="J89" s="57">
        <v>1</v>
      </c>
      <c r="K89" s="172">
        <v>2021</v>
      </c>
      <c r="L89" s="173" t="s">
        <v>898</v>
      </c>
      <c r="M89" s="173" t="s">
        <v>1022</v>
      </c>
      <c r="N89" s="174" t="s">
        <v>1023</v>
      </c>
      <c r="O89" s="171" t="s">
        <v>1024</v>
      </c>
      <c r="P89" s="171" t="s">
        <v>675</v>
      </c>
      <c r="Q89" s="209">
        <v>1973</v>
      </c>
      <c r="R89" s="171">
        <v>8</v>
      </c>
      <c r="S89" s="171"/>
      <c r="T89" s="173"/>
      <c r="U89" s="171"/>
      <c r="V89" s="171"/>
      <c r="W89" s="171"/>
      <c r="X89" s="57">
        <v>0</v>
      </c>
      <c r="Y89" s="172">
        <v>2</v>
      </c>
      <c r="Z89" s="175" t="s">
        <v>676</v>
      </c>
      <c r="AA89" s="176">
        <v>2021</v>
      </c>
      <c r="AB89" s="176">
        <v>7</v>
      </c>
      <c r="AC89" s="176">
        <v>8</v>
      </c>
      <c r="AD89" s="177" t="b">
        <f>IF(ISBLANK(GroupMember[[#This Row],[1. Identifiant interne d’exploitation agricole*]]),"",IF(ISERROR(MATCH(GroupMember[[#This Row],[1. Identifiant interne d’exploitation agricole*]],CertifiedCrop[1. Identifiant interne d’exploitation agricole*],0)),FALSE,TRUE))</f>
        <v>1</v>
      </c>
      <c r="AE89" s="177" t="b">
        <f>IF(ISBLANK(GroupMember[[#This Row],[1. Identifiant interne d’exploitation agricole*]]),"",IF(ISERROR(MATCH(GroupMember[[#This Row],[1. Identifiant interne d’exploitation agricole*]],FarmUnit[1. Identifiant interne d’exploitation agricole*],0)),FALSE,TRUE))</f>
        <v>1</v>
      </c>
      <c r="AF89" s="178" t="str">
        <f t="shared" si="4"/>
        <v>PAGBELGUEM TINONGDA ABEL</v>
      </c>
      <c r="AG89" s="179" t="str">
        <f t="shared" si="5"/>
        <v>8/7/2021</v>
      </c>
      <c r="AH89" s="180">
        <f t="shared" si="7"/>
        <v>6</v>
      </c>
      <c r="AI89" s="181">
        <f t="shared" si="6"/>
        <v>0.16666666666666666</v>
      </c>
    </row>
    <row r="90" spans="1:35" ht="15">
      <c r="A90" s="170" t="s">
        <v>1025</v>
      </c>
      <c r="B90" s="171" t="s">
        <v>1025</v>
      </c>
      <c r="C90" s="171" t="s">
        <v>1025</v>
      </c>
      <c r="D90" s="171" t="s">
        <v>667</v>
      </c>
      <c r="E90" s="171" t="s">
        <v>668</v>
      </c>
      <c r="F90" s="171" t="s">
        <v>669</v>
      </c>
      <c r="G90" s="171" t="s">
        <v>670</v>
      </c>
      <c r="H90" s="195">
        <v>3.5464000000000002</v>
      </c>
      <c r="I90" s="171" t="s">
        <v>671</v>
      </c>
      <c r="J90" s="57">
        <v>1</v>
      </c>
      <c r="K90" s="172">
        <v>2021</v>
      </c>
      <c r="L90" s="173" t="s">
        <v>898</v>
      </c>
      <c r="M90" s="173" t="s">
        <v>954</v>
      </c>
      <c r="N90" s="174" t="s">
        <v>1026</v>
      </c>
      <c r="O90" s="171" t="s">
        <v>2496</v>
      </c>
      <c r="P90" s="171" t="s">
        <v>675</v>
      </c>
      <c r="Q90" s="209">
        <v>1988</v>
      </c>
      <c r="R90" s="171">
        <v>3</v>
      </c>
      <c r="S90" s="171"/>
      <c r="T90" s="173"/>
      <c r="U90" s="171"/>
      <c r="V90" s="171"/>
      <c r="W90" s="171"/>
      <c r="X90" s="57">
        <v>0</v>
      </c>
      <c r="Y90" s="172">
        <v>2</v>
      </c>
      <c r="Z90" s="175" t="s">
        <v>676</v>
      </c>
      <c r="AA90" s="176">
        <v>2021</v>
      </c>
      <c r="AB90" s="176">
        <v>7</v>
      </c>
      <c r="AC90" s="176">
        <v>20</v>
      </c>
      <c r="AD90" s="177" t="b">
        <f>IF(ISBLANK(GroupMember[[#This Row],[1. Identifiant interne d’exploitation agricole*]]),"",IF(ISERROR(MATCH(GroupMember[[#This Row],[1. Identifiant interne d’exploitation agricole*]],CertifiedCrop[1. Identifiant interne d’exploitation agricole*],0)),FALSE,TRUE))</f>
        <v>1</v>
      </c>
      <c r="AE90" s="177" t="b">
        <f>IF(ISBLANK(GroupMember[[#This Row],[1. Identifiant interne d’exploitation agricole*]]),"",IF(ISERROR(MATCH(GroupMember[[#This Row],[1. Identifiant interne d’exploitation agricole*]],FarmUnit[1. Identifiant interne d’exploitation agricole*],0)),FALSE,TRUE))</f>
        <v>1</v>
      </c>
      <c r="AF90" s="178" t="str">
        <f t="shared" si="4"/>
        <v>PAGBELGUEM ADAMA</v>
      </c>
      <c r="AG90" s="179" t="str">
        <f t="shared" si="5"/>
        <v>20/7/2021</v>
      </c>
      <c r="AH90" s="180">
        <f t="shared" si="7"/>
        <v>6</v>
      </c>
      <c r="AI90" s="181">
        <f t="shared" si="6"/>
        <v>0.16666666666666666</v>
      </c>
    </row>
    <row r="91" spans="1:35" ht="15">
      <c r="A91" s="170" t="s">
        <v>1027</v>
      </c>
      <c r="B91" s="171" t="s">
        <v>1027</v>
      </c>
      <c r="C91" s="171" t="s">
        <v>1027</v>
      </c>
      <c r="D91" s="171" t="s">
        <v>667</v>
      </c>
      <c r="E91" s="171" t="s">
        <v>668</v>
      </c>
      <c r="F91" s="171" t="s">
        <v>669</v>
      </c>
      <c r="G91" s="171" t="s">
        <v>670</v>
      </c>
      <c r="H91" s="195">
        <v>2.1492</v>
      </c>
      <c r="I91" s="171" t="s">
        <v>671</v>
      </c>
      <c r="J91" s="57">
        <v>1</v>
      </c>
      <c r="K91" s="172">
        <v>2021</v>
      </c>
      <c r="L91" s="173" t="s">
        <v>898</v>
      </c>
      <c r="M91" s="173" t="s">
        <v>1028</v>
      </c>
      <c r="N91" s="174" t="s">
        <v>1029</v>
      </c>
      <c r="O91" s="57" t="s">
        <v>1851</v>
      </c>
      <c r="P91" s="171" t="s">
        <v>675</v>
      </c>
      <c r="Q91" s="209">
        <v>1995</v>
      </c>
      <c r="R91" s="171">
        <v>4</v>
      </c>
      <c r="S91" s="171"/>
      <c r="T91" s="173"/>
      <c r="U91" s="171"/>
      <c r="V91" s="171"/>
      <c r="W91" s="171"/>
      <c r="X91" s="57">
        <v>0</v>
      </c>
      <c r="Y91" s="172">
        <v>2</v>
      </c>
      <c r="Z91" s="175" t="s">
        <v>676</v>
      </c>
      <c r="AA91" s="176">
        <v>2021</v>
      </c>
      <c r="AB91" s="176">
        <v>8</v>
      </c>
      <c r="AC91" s="176">
        <v>4</v>
      </c>
      <c r="AD91" s="177" t="b">
        <f>IF(ISBLANK(GroupMember[[#This Row],[1. Identifiant interne d’exploitation agricole*]]),"",IF(ISERROR(MATCH(GroupMember[[#This Row],[1. Identifiant interne d’exploitation agricole*]],CertifiedCrop[1. Identifiant interne d’exploitation agricole*],0)),FALSE,TRUE))</f>
        <v>1</v>
      </c>
      <c r="AE91" s="177" t="b">
        <f>IF(ISBLANK(GroupMember[[#This Row],[1. Identifiant interne d’exploitation agricole*]]),"",IF(ISERROR(MATCH(GroupMember[[#This Row],[1. Identifiant interne d’exploitation agricole*]],FarmUnit[1. Identifiant interne d’exploitation agricole*],0)),FALSE,TRUE))</f>
        <v>1</v>
      </c>
      <c r="AF91" s="178" t="str">
        <f t="shared" si="4"/>
        <v>PAGBELGUEM JULES</v>
      </c>
      <c r="AG91" s="179" t="str">
        <f t="shared" si="5"/>
        <v>4/8/2021</v>
      </c>
      <c r="AH91" s="180">
        <f t="shared" si="7"/>
        <v>6</v>
      </c>
      <c r="AI91" s="181">
        <f t="shared" si="6"/>
        <v>0.16666666666666666</v>
      </c>
    </row>
    <row r="92" spans="1:35" ht="15">
      <c r="A92" s="170" t="s">
        <v>1030</v>
      </c>
      <c r="B92" s="171" t="s">
        <v>1030</v>
      </c>
      <c r="C92" s="171" t="s">
        <v>1030</v>
      </c>
      <c r="D92" s="171" t="s">
        <v>667</v>
      </c>
      <c r="E92" s="171" t="s">
        <v>668</v>
      </c>
      <c r="F92" s="171" t="s">
        <v>669</v>
      </c>
      <c r="G92" s="171" t="s">
        <v>670</v>
      </c>
      <c r="H92" s="195">
        <v>2.6935000000000002</v>
      </c>
      <c r="I92" s="171" t="s">
        <v>671</v>
      </c>
      <c r="J92" s="57">
        <v>1</v>
      </c>
      <c r="K92" s="172">
        <v>2021</v>
      </c>
      <c r="L92" s="173" t="s">
        <v>678</v>
      </c>
      <c r="M92" s="173" t="s">
        <v>1031</v>
      </c>
      <c r="N92" s="174" t="s">
        <v>1032</v>
      </c>
      <c r="O92" s="171" t="s">
        <v>1033</v>
      </c>
      <c r="P92" s="171" t="s">
        <v>675</v>
      </c>
      <c r="Q92" s="209">
        <v>1985</v>
      </c>
      <c r="R92" s="171">
        <v>3</v>
      </c>
      <c r="S92" s="171"/>
      <c r="T92" s="173"/>
      <c r="U92" s="171"/>
      <c r="V92" s="171"/>
      <c r="W92" s="171"/>
      <c r="X92" s="57">
        <v>0</v>
      </c>
      <c r="Y92" s="172">
        <v>2</v>
      </c>
      <c r="Z92" s="175" t="s">
        <v>676</v>
      </c>
      <c r="AA92" s="176">
        <v>2021</v>
      </c>
      <c r="AB92" s="176">
        <v>7</v>
      </c>
      <c r="AC92" s="176">
        <v>9</v>
      </c>
      <c r="AD92" s="177" t="b">
        <f>IF(ISBLANK(GroupMember[[#This Row],[1. Identifiant interne d’exploitation agricole*]]),"",IF(ISERROR(MATCH(GroupMember[[#This Row],[1. Identifiant interne d’exploitation agricole*]],CertifiedCrop[1. Identifiant interne d’exploitation agricole*],0)),FALSE,TRUE))</f>
        <v>1</v>
      </c>
      <c r="AE92" s="177" t="b">
        <f>IF(ISBLANK(GroupMember[[#This Row],[1. Identifiant interne d’exploitation agricole*]]),"",IF(ISERROR(MATCH(GroupMember[[#This Row],[1. Identifiant interne d’exploitation agricole*]],FarmUnit[1. Identifiant interne d’exploitation agricole*],0)),FALSE,TRUE))</f>
        <v>1</v>
      </c>
      <c r="AF92" s="178" t="str">
        <f t="shared" si="4"/>
        <v>OUEDRAOGO  MANEGBINGBA ALI</v>
      </c>
      <c r="AG92" s="179" t="str">
        <f t="shared" si="5"/>
        <v>9/7/2021</v>
      </c>
      <c r="AH92" s="180">
        <f t="shared" si="7"/>
        <v>5</v>
      </c>
      <c r="AI92" s="181">
        <f t="shared" si="6"/>
        <v>0.16666666666666666</v>
      </c>
    </row>
    <row r="93" spans="1:35" ht="15">
      <c r="A93" s="170" t="s">
        <v>1034</v>
      </c>
      <c r="B93" s="171" t="s">
        <v>1034</v>
      </c>
      <c r="C93" s="171" t="s">
        <v>1034</v>
      </c>
      <c r="D93" s="171" t="s">
        <v>667</v>
      </c>
      <c r="E93" s="171" t="s">
        <v>668</v>
      </c>
      <c r="F93" s="171" t="s">
        <v>669</v>
      </c>
      <c r="G93" s="171" t="s">
        <v>670</v>
      </c>
      <c r="H93" s="195">
        <v>2.6818</v>
      </c>
      <c r="I93" s="171" t="s">
        <v>671</v>
      </c>
      <c r="J93" s="57">
        <v>1</v>
      </c>
      <c r="K93" s="172">
        <v>2021</v>
      </c>
      <c r="L93" s="173" t="s">
        <v>898</v>
      </c>
      <c r="M93" s="173" t="s">
        <v>1035</v>
      </c>
      <c r="N93" s="174" t="s">
        <v>1036</v>
      </c>
      <c r="O93" s="171" t="s">
        <v>2497</v>
      </c>
      <c r="P93" s="171" t="s">
        <v>675</v>
      </c>
      <c r="Q93" s="209">
        <v>1990</v>
      </c>
      <c r="R93" s="171">
        <v>6</v>
      </c>
      <c r="S93" s="171"/>
      <c r="T93" s="173"/>
      <c r="U93" s="171"/>
      <c r="V93" s="171"/>
      <c r="W93" s="171"/>
      <c r="X93" s="57">
        <v>0</v>
      </c>
      <c r="Y93" s="172">
        <v>2</v>
      </c>
      <c r="Z93" s="175" t="s">
        <v>676</v>
      </c>
      <c r="AA93" s="176">
        <v>2021</v>
      </c>
      <c r="AB93" s="176">
        <v>8</v>
      </c>
      <c r="AC93" s="176">
        <v>5</v>
      </c>
      <c r="AD93" s="177" t="b">
        <f>IF(ISBLANK(GroupMember[[#This Row],[1. Identifiant interne d’exploitation agricole*]]),"",IF(ISERROR(MATCH(GroupMember[[#This Row],[1. Identifiant interne d’exploitation agricole*]],CertifiedCrop[1. Identifiant interne d’exploitation agricole*],0)),FALSE,TRUE))</f>
        <v>1</v>
      </c>
      <c r="AE93" s="177" t="b">
        <f>IF(ISBLANK(GroupMember[[#This Row],[1. Identifiant interne d’exploitation agricole*]]),"",IF(ISERROR(MATCH(GroupMember[[#This Row],[1. Identifiant interne d’exploitation agricole*]],FarmUnit[1. Identifiant interne d’exploitation agricole*],0)),FALSE,TRUE))</f>
        <v>1</v>
      </c>
      <c r="AF93" s="178" t="str">
        <f t="shared" si="4"/>
        <v>PAGBELGUEM JULIEN</v>
      </c>
      <c r="AG93" s="179" t="str">
        <f t="shared" si="5"/>
        <v>5/8/2021</v>
      </c>
      <c r="AH93" s="180">
        <f t="shared" si="7"/>
        <v>4</v>
      </c>
      <c r="AI93" s="181">
        <f t="shared" si="6"/>
        <v>0.16666666666666666</v>
      </c>
    </row>
    <row r="94" spans="1:35" ht="25.5">
      <c r="A94" s="170" t="s">
        <v>1037</v>
      </c>
      <c r="B94" s="171" t="s">
        <v>1037</v>
      </c>
      <c r="C94" s="171" t="s">
        <v>1037</v>
      </c>
      <c r="D94" s="171" t="s">
        <v>667</v>
      </c>
      <c r="E94" s="171" t="s">
        <v>668</v>
      </c>
      <c r="F94" s="171" t="s">
        <v>669</v>
      </c>
      <c r="G94" s="171" t="s">
        <v>670</v>
      </c>
      <c r="H94" s="195">
        <v>5.5156000000000001</v>
      </c>
      <c r="I94" s="171" t="s">
        <v>671</v>
      </c>
      <c r="J94" s="57">
        <v>1</v>
      </c>
      <c r="K94" s="172">
        <v>2021</v>
      </c>
      <c r="L94" s="173" t="s">
        <v>678</v>
      </c>
      <c r="M94" s="194" t="s">
        <v>1038</v>
      </c>
      <c r="N94" s="174" t="s">
        <v>1039</v>
      </c>
      <c r="O94" s="57" t="s">
        <v>1833</v>
      </c>
      <c r="P94" s="171" t="s">
        <v>675</v>
      </c>
      <c r="Q94" s="209">
        <v>1974</v>
      </c>
      <c r="R94" s="171">
        <v>1</v>
      </c>
      <c r="S94" s="171"/>
      <c r="T94" s="173"/>
      <c r="U94" s="171"/>
      <c r="V94" s="171"/>
      <c r="W94" s="171"/>
      <c r="X94" s="57">
        <v>0</v>
      </c>
      <c r="Y94" s="172">
        <v>2</v>
      </c>
      <c r="Z94" s="175" t="s">
        <v>676</v>
      </c>
      <c r="AA94" s="176">
        <v>2021</v>
      </c>
      <c r="AB94" s="176">
        <v>7</v>
      </c>
      <c r="AC94" s="176">
        <v>16</v>
      </c>
      <c r="AD94" s="177" t="b">
        <f>IF(ISBLANK(GroupMember[[#This Row],[1. Identifiant interne d’exploitation agricole*]]),"",IF(ISERROR(MATCH(GroupMember[[#This Row],[1. Identifiant interne d’exploitation agricole*]],CertifiedCrop[1. Identifiant interne d’exploitation agricole*],0)),FALSE,TRUE))</f>
        <v>1</v>
      </c>
      <c r="AE94" s="177" t="b">
        <f>IF(ISBLANK(GroupMember[[#This Row],[1. Identifiant interne d’exploitation agricole*]]),"",IF(ISERROR(MATCH(GroupMember[[#This Row],[1. Identifiant interne d’exploitation agricole*]],FarmUnit[1. Identifiant interne d’exploitation agricole*],0)),FALSE,TRUE))</f>
        <v>1</v>
      </c>
      <c r="AF94" s="178" t="str">
        <f t="shared" si="4"/>
        <v>OUEDRAOGO KONSONDINGNIMBA DRAMANE</v>
      </c>
      <c r="AG94" s="179" t="str">
        <f t="shared" si="5"/>
        <v>16/7/2021</v>
      </c>
      <c r="AH94" s="180">
        <f t="shared" si="7"/>
        <v>6</v>
      </c>
      <c r="AI94" s="181">
        <f t="shared" si="6"/>
        <v>0.16666666666666666</v>
      </c>
    </row>
    <row r="95" spans="1:35" ht="15">
      <c r="A95" s="170" t="s">
        <v>1040</v>
      </c>
      <c r="B95" s="171" t="s">
        <v>1040</v>
      </c>
      <c r="C95" s="171" t="s">
        <v>1040</v>
      </c>
      <c r="D95" s="171" t="s">
        <v>667</v>
      </c>
      <c r="E95" s="171" t="s">
        <v>668</v>
      </c>
      <c r="F95" s="171" t="s">
        <v>669</v>
      </c>
      <c r="G95" s="171" t="s">
        <v>670</v>
      </c>
      <c r="H95" s="195">
        <v>2.0177</v>
      </c>
      <c r="I95" s="171" t="s">
        <v>671</v>
      </c>
      <c r="J95" s="57">
        <v>1</v>
      </c>
      <c r="K95" s="172">
        <v>2021</v>
      </c>
      <c r="L95" s="173" t="s">
        <v>898</v>
      </c>
      <c r="M95" s="173" t="s">
        <v>1041</v>
      </c>
      <c r="N95" s="174" t="s">
        <v>1042</v>
      </c>
      <c r="O95" s="171" t="s">
        <v>2498</v>
      </c>
      <c r="P95" s="171" t="s">
        <v>675</v>
      </c>
      <c r="Q95" s="209">
        <v>1994</v>
      </c>
      <c r="R95" s="171">
        <v>5</v>
      </c>
      <c r="S95" s="171"/>
      <c r="T95" s="173"/>
      <c r="U95" s="171"/>
      <c r="V95" s="171"/>
      <c r="W95" s="171"/>
      <c r="X95" s="57">
        <v>0</v>
      </c>
      <c r="Y95" s="172">
        <v>2</v>
      </c>
      <c r="Z95" s="175" t="s">
        <v>676</v>
      </c>
      <c r="AA95" s="176">
        <v>2021</v>
      </c>
      <c r="AB95" s="176">
        <v>7</v>
      </c>
      <c r="AC95" s="176">
        <v>30</v>
      </c>
      <c r="AD95" s="177" t="b">
        <f>IF(ISBLANK(GroupMember[[#This Row],[1. Identifiant interne d’exploitation agricole*]]),"",IF(ISERROR(MATCH(GroupMember[[#This Row],[1. Identifiant interne d’exploitation agricole*]],CertifiedCrop[1. Identifiant interne d’exploitation agricole*],0)),FALSE,TRUE))</f>
        <v>1</v>
      </c>
      <c r="AE95" s="177" t="b">
        <f>IF(ISBLANK(GroupMember[[#This Row],[1. Identifiant interne d’exploitation agricole*]]),"",IF(ISERROR(MATCH(GroupMember[[#This Row],[1. Identifiant interne d’exploitation agricole*]],FarmUnit[1. Identifiant interne d’exploitation agricole*],0)),FALSE,TRUE))</f>
        <v>1</v>
      </c>
      <c r="AF95" s="178" t="str">
        <f t="shared" si="4"/>
        <v>PAGBELGUEM SIPAYETE</v>
      </c>
      <c r="AG95" s="179" t="str">
        <f t="shared" si="5"/>
        <v>30/7/2021</v>
      </c>
      <c r="AH95" s="180">
        <f t="shared" si="7"/>
        <v>6</v>
      </c>
      <c r="AI95" s="181">
        <f t="shared" si="6"/>
        <v>0.16666666666666666</v>
      </c>
    </row>
    <row r="96" spans="1:35" ht="15">
      <c r="A96" s="170" t="s">
        <v>1043</v>
      </c>
      <c r="B96" s="171" t="s">
        <v>1043</v>
      </c>
      <c r="C96" s="171" t="s">
        <v>1043</v>
      </c>
      <c r="D96" s="171" t="s">
        <v>667</v>
      </c>
      <c r="E96" s="171" t="s">
        <v>668</v>
      </c>
      <c r="F96" s="171" t="s">
        <v>669</v>
      </c>
      <c r="G96" s="171" t="s">
        <v>670</v>
      </c>
      <c r="H96" s="195">
        <v>2.5848</v>
      </c>
      <c r="I96" s="171" t="s">
        <v>671</v>
      </c>
      <c r="J96" s="57">
        <v>1</v>
      </c>
      <c r="K96" s="172">
        <v>2021</v>
      </c>
      <c r="L96" s="173" t="s">
        <v>1044</v>
      </c>
      <c r="M96" s="173" t="s">
        <v>954</v>
      </c>
      <c r="N96" s="174" t="s">
        <v>1045</v>
      </c>
      <c r="O96" s="171" t="s">
        <v>2499</v>
      </c>
      <c r="P96" s="171" t="s">
        <v>675</v>
      </c>
      <c r="Q96" s="209">
        <v>1997</v>
      </c>
      <c r="R96" s="171">
        <v>4</v>
      </c>
      <c r="S96" s="171"/>
      <c r="T96" s="173"/>
      <c r="U96" s="171"/>
      <c r="V96" s="171"/>
      <c r="W96" s="171"/>
      <c r="X96" s="57">
        <v>0</v>
      </c>
      <c r="Y96" s="172">
        <v>2</v>
      </c>
      <c r="Z96" s="175" t="s">
        <v>676</v>
      </c>
      <c r="AA96" s="176">
        <v>2021</v>
      </c>
      <c r="AB96" s="176">
        <v>7</v>
      </c>
      <c r="AC96" s="176">
        <v>6</v>
      </c>
      <c r="AD96" s="177" t="b">
        <f>IF(ISBLANK(GroupMember[[#This Row],[1. Identifiant interne d’exploitation agricole*]]),"",IF(ISERROR(MATCH(GroupMember[[#This Row],[1. Identifiant interne d’exploitation agricole*]],CertifiedCrop[1. Identifiant interne d’exploitation agricole*],0)),FALSE,TRUE))</f>
        <v>1</v>
      </c>
      <c r="AE96" s="177" t="b">
        <f>IF(ISBLANK(GroupMember[[#This Row],[1. Identifiant interne d’exploitation agricole*]]),"",IF(ISERROR(MATCH(GroupMember[[#This Row],[1. Identifiant interne d’exploitation agricole*]],FarmUnit[1. Identifiant interne d’exploitation agricole*],0)),FALSE,TRUE))</f>
        <v>1</v>
      </c>
      <c r="AF96" s="178" t="str">
        <f t="shared" si="4"/>
        <v>ILBOUDO  ADAMA</v>
      </c>
      <c r="AG96" s="179" t="str">
        <f t="shared" si="5"/>
        <v>6/7/2021</v>
      </c>
      <c r="AH96" s="180">
        <f t="shared" si="7"/>
        <v>5</v>
      </c>
      <c r="AI96" s="181">
        <f t="shared" si="6"/>
        <v>0.16666666666666666</v>
      </c>
    </row>
    <row r="97" spans="1:35" ht="15">
      <c r="A97" s="170" t="s">
        <v>1046</v>
      </c>
      <c r="B97" s="171" t="s">
        <v>1046</v>
      </c>
      <c r="C97" s="171" t="s">
        <v>1046</v>
      </c>
      <c r="D97" s="171" t="s">
        <v>667</v>
      </c>
      <c r="E97" s="171" t="s">
        <v>668</v>
      </c>
      <c r="F97" s="171" t="s">
        <v>669</v>
      </c>
      <c r="G97" s="171" t="s">
        <v>670</v>
      </c>
      <c r="H97" s="195">
        <v>10.9945</v>
      </c>
      <c r="I97" s="171" t="s">
        <v>671</v>
      </c>
      <c r="J97" s="57">
        <v>1</v>
      </c>
      <c r="K97" s="172">
        <v>2021</v>
      </c>
      <c r="L97" s="173" t="s">
        <v>898</v>
      </c>
      <c r="M97" s="173" t="s">
        <v>1047</v>
      </c>
      <c r="N97" s="174" t="s">
        <v>1048</v>
      </c>
      <c r="O97" s="171" t="s">
        <v>1049</v>
      </c>
      <c r="P97" s="171" t="s">
        <v>675</v>
      </c>
      <c r="Q97" s="209">
        <v>1976</v>
      </c>
      <c r="R97" s="171">
        <v>6</v>
      </c>
      <c r="S97" s="171"/>
      <c r="T97" s="173"/>
      <c r="U97" s="171"/>
      <c r="V97" s="171"/>
      <c r="W97" s="171"/>
      <c r="X97" s="57">
        <v>3</v>
      </c>
      <c r="Y97" s="172">
        <v>5</v>
      </c>
      <c r="Z97" s="175" t="s">
        <v>676</v>
      </c>
      <c r="AA97" s="176">
        <v>2021</v>
      </c>
      <c r="AB97" s="176">
        <v>8</v>
      </c>
      <c r="AC97" s="176">
        <v>5</v>
      </c>
      <c r="AD97" s="177" t="b">
        <f>IF(ISBLANK(GroupMember[[#This Row],[1. Identifiant interne d’exploitation agricole*]]),"",IF(ISERROR(MATCH(GroupMember[[#This Row],[1. Identifiant interne d’exploitation agricole*]],CertifiedCrop[1. Identifiant interne d’exploitation agricole*],0)),FALSE,TRUE))</f>
        <v>1</v>
      </c>
      <c r="AE97" s="177" t="b">
        <f>IF(ISBLANK(GroupMember[[#This Row],[1. Identifiant interne d’exploitation agricole*]]),"",IF(ISERROR(MATCH(GroupMember[[#This Row],[1. Identifiant interne d’exploitation agricole*]],FarmUnit[1. Identifiant interne d’exploitation agricole*],0)),FALSE,TRUE))</f>
        <v>1</v>
      </c>
      <c r="AF97" s="178" t="str">
        <f t="shared" si="4"/>
        <v>PAGBELGUEM NEEBGNIGUA</v>
      </c>
      <c r="AG97" s="179" t="str">
        <f t="shared" si="5"/>
        <v>5/8/2021</v>
      </c>
      <c r="AH97" s="180">
        <f t="shared" si="7"/>
        <v>4</v>
      </c>
      <c r="AI97" s="181">
        <f t="shared" si="6"/>
        <v>3.4166666666666665</v>
      </c>
    </row>
    <row r="98" spans="1:35" ht="15">
      <c r="A98" s="170" t="s">
        <v>1050</v>
      </c>
      <c r="B98" s="171" t="s">
        <v>1050</v>
      </c>
      <c r="C98" s="171" t="s">
        <v>1050</v>
      </c>
      <c r="D98" s="171" t="s">
        <v>667</v>
      </c>
      <c r="E98" s="171" t="s">
        <v>668</v>
      </c>
      <c r="F98" s="171" t="s">
        <v>669</v>
      </c>
      <c r="G98" s="171" t="s">
        <v>670</v>
      </c>
      <c r="H98" s="195">
        <v>5.4454000000000002</v>
      </c>
      <c r="I98" s="171" t="s">
        <v>671</v>
      </c>
      <c r="J98" s="57">
        <v>1</v>
      </c>
      <c r="K98" s="172">
        <v>2021</v>
      </c>
      <c r="L98" s="173" t="s">
        <v>898</v>
      </c>
      <c r="M98" s="173" t="s">
        <v>752</v>
      </c>
      <c r="N98" s="174" t="s">
        <v>1051</v>
      </c>
      <c r="O98" s="57" t="s">
        <v>1852</v>
      </c>
      <c r="P98" s="171" t="s">
        <v>675</v>
      </c>
      <c r="Q98" s="209">
        <v>1977</v>
      </c>
      <c r="R98" s="171">
        <v>7</v>
      </c>
      <c r="S98" s="171"/>
      <c r="T98" s="173"/>
      <c r="U98" s="171"/>
      <c r="V98" s="171"/>
      <c r="W98" s="171"/>
      <c r="X98" s="57">
        <v>0</v>
      </c>
      <c r="Y98" s="172">
        <v>2</v>
      </c>
      <c r="Z98" s="175" t="s">
        <v>676</v>
      </c>
      <c r="AA98" s="176">
        <v>2021</v>
      </c>
      <c r="AB98" s="176">
        <v>7</v>
      </c>
      <c r="AC98" s="176">
        <v>14</v>
      </c>
      <c r="AD98" s="177" t="b">
        <f>IF(ISBLANK(GroupMember[[#This Row],[1. Identifiant interne d’exploitation agricole*]]),"",IF(ISERROR(MATCH(GroupMember[[#This Row],[1. Identifiant interne d’exploitation agricole*]],CertifiedCrop[1. Identifiant interne d’exploitation agricole*],0)),FALSE,TRUE))</f>
        <v>1</v>
      </c>
      <c r="AE98" s="177" t="b">
        <f>IF(ISBLANK(GroupMember[[#This Row],[1. Identifiant interne d’exploitation agricole*]]),"",IF(ISERROR(MATCH(GroupMember[[#This Row],[1. Identifiant interne d’exploitation agricole*]],FarmUnit[1. Identifiant interne d’exploitation agricole*],0)),FALSE,TRUE))</f>
        <v>1</v>
      </c>
      <c r="AF98" s="178" t="str">
        <f t="shared" si="4"/>
        <v>PAGBELGUEM SAIDOU</v>
      </c>
      <c r="AG98" s="179" t="str">
        <f t="shared" si="5"/>
        <v>14/7/2021</v>
      </c>
      <c r="AH98" s="180">
        <f t="shared" si="7"/>
        <v>5</v>
      </c>
      <c r="AI98" s="181">
        <f t="shared" si="6"/>
        <v>0.16666666666666666</v>
      </c>
    </row>
    <row r="99" spans="1:35" ht="15">
      <c r="A99" s="170" t="s">
        <v>1052</v>
      </c>
      <c r="B99" s="171" t="s">
        <v>1052</v>
      </c>
      <c r="C99" s="171" t="s">
        <v>1052</v>
      </c>
      <c r="D99" s="171" t="s">
        <v>667</v>
      </c>
      <c r="E99" s="171" t="s">
        <v>668</v>
      </c>
      <c r="F99" s="171" t="s">
        <v>669</v>
      </c>
      <c r="G99" s="171" t="s">
        <v>670</v>
      </c>
      <c r="H99" s="195">
        <v>3.1766999999999999</v>
      </c>
      <c r="I99" s="171" t="s">
        <v>671</v>
      </c>
      <c r="J99" s="57">
        <v>1</v>
      </c>
      <c r="K99" s="172">
        <v>2021</v>
      </c>
      <c r="L99" s="194" t="s">
        <v>678</v>
      </c>
      <c r="M99" s="173" t="s">
        <v>1053</v>
      </c>
      <c r="N99" s="174" t="s">
        <v>1054</v>
      </c>
      <c r="O99" s="57" t="s">
        <v>1834</v>
      </c>
      <c r="P99" s="171" t="s">
        <v>675</v>
      </c>
      <c r="Q99" s="209">
        <v>1988</v>
      </c>
      <c r="R99" s="171">
        <v>4</v>
      </c>
      <c r="S99" s="171"/>
      <c r="T99" s="173"/>
      <c r="U99" s="171"/>
      <c r="V99" s="171"/>
      <c r="W99" s="171"/>
      <c r="X99" s="57">
        <v>0</v>
      </c>
      <c r="Y99" s="172">
        <v>2</v>
      </c>
      <c r="Z99" s="175" t="s">
        <v>676</v>
      </c>
      <c r="AA99" s="176">
        <v>2021</v>
      </c>
      <c r="AB99" s="176">
        <v>8</v>
      </c>
      <c r="AC99" s="176">
        <v>6</v>
      </c>
      <c r="AD99" s="177" t="b">
        <f>IF(ISBLANK(GroupMember[[#This Row],[1. Identifiant interne d’exploitation agricole*]]),"",IF(ISERROR(MATCH(GroupMember[[#This Row],[1. Identifiant interne d’exploitation agricole*]],CertifiedCrop[1. Identifiant interne d’exploitation agricole*],0)),FALSE,TRUE))</f>
        <v>1</v>
      </c>
      <c r="AE99" s="177" t="b">
        <f>IF(ISBLANK(GroupMember[[#This Row],[1. Identifiant interne d’exploitation agricole*]]),"",IF(ISERROR(MATCH(GroupMember[[#This Row],[1. Identifiant interne d’exploitation agricole*]],FarmUnit[1. Identifiant interne d’exploitation agricole*],0)),FALSE,TRUE))</f>
        <v>1</v>
      </c>
      <c r="AF99" s="178" t="str">
        <f t="shared" si="4"/>
        <v>OUEDRAOGO ABDOULAYE</v>
      </c>
      <c r="AG99" s="179" t="str">
        <f t="shared" si="5"/>
        <v>6/8/2021</v>
      </c>
      <c r="AH99" s="180">
        <f t="shared" si="7"/>
        <v>5</v>
      </c>
      <c r="AI99" s="181">
        <f t="shared" si="6"/>
        <v>0.16666666666666666</v>
      </c>
    </row>
    <row r="100" spans="1:35" ht="15">
      <c r="A100" s="170" t="s">
        <v>1055</v>
      </c>
      <c r="B100" s="171" t="s">
        <v>1055</v>
      </c>
      <c r="C100" s="171" t="s">
        <v>1055</v>
      </c>
      <c r="D100" s="171" t="s">
        <v>667</v>
      </c>
      <c r="E100" s="171" t="s">
        <v>668</v>
      </c>
      <c r="F100" s="171" t="s">
        <v>669</v>
      </c>
      <c r="G100" s="171" t="s">
        <v>670</v>
      </c>
      <c r="H100" s="195">
        <v>4.0510999999999999</v>
      </c>
      <c r="I100" s="171" t="s">
        <v>671</v>
      </c>
      <c r="J100" s="57">
        <v>1</v>
      </c>
      <c r="K100" s="172">
        <v>2021</v>
      </c>
      <c r="L100" s="173" t="s">
        <v>898</v>
      </c>
      <c r="M100" s="173" t="s">
        <v>1056</v>
      </c>
      <c r="N100" s="174" t="s">
        <v>1057</v>
      </c>
      <c r="O100" s="57" t="s">
        <v>1835</v>
      </c>
      <c r="P100" s="171" t="s">
        <v>675</v>
      </c>
      <c r="Q100" s="209">
        <v>1994</v>
      </c>
      <c r="R100" s="171">
        <v>2</v>
      </c>
      <c r="S100" s="171"/>
      <c r="T100" s="173"/>
      <c r="U100" s="171"/>
      <c r="V100" s="171"/>
      <c r="W100" s="171"/>
      <c r="X100" s="57">
        <v>0</v>
      </c>
      <c r="Y100" s="172">
        <v>2</v>
      </c>
      <c r="Z100" s="175" t="s">
        <v>676</v>
      </c>
      <c r="AA100" s="176">
        <v>2021</v>
      </c>
      <c r="AB100" s="176">
        <v>7</v>
      </c>
      <c r="AC100" s="176">
        <v>29</v>
      </c>
      <c r="AD100" s="177" t="b">
        <f>IF(ISBLANK(GroupMember[[#This Row],[1. Identifiant interne d’exploitation agricole*]]),"",IF(ISERROR(MATCH(GroupMember[[#This Row],[1. Identifiant interne d’exploitation agricole*]],CertifiedCrop[1. Identifiant interne d’exploitation agricole*],0)),FALSE,TRUE))</f>
        <v>1</v>
      </c>
      <c r="AE100" s="177" t="b">
        <f>IF(ISBLANK(GroupMember[[#This Row],[1. Identifiant interne d’exploitation agricole*]]),"",IF(ISERROR(MATCH(GroupMember[[#This Row],[1. Identifiant interne d’exploitation agricole*]],FarmUnit[1. Identifiant interne d’exploitation agricole*],0)),FALSE,TRUE))</f>
        <v>1</v>
      </c>
      <c r="AF100" s="178" t="str">
        <f t="shared" si="4"/>
        <v>PAGBELGUEM SIDPAYETTE</v>
      </c>
      <c r="AG100" s="179" t="str">
        <f t="shared" si="5"/>
        <v>29/7/2021</v>
      </c>
      <c r="AH100" s="180">
        <f t="shared" si="7"/>
        <v>5</v>
      </c>
      <c r="AI100" s="181">
        <f t="shared" si="6"/>
        <v>0.16666666666666666</v>
      </c>
    </row>
    <row r="101" spans="1:35" ht="15">
      <c r="A101" s="170" t="s">
        <v>1058</v>
      </c>
      <c r="B101" s="171" t="s">
        <v>1058</v>
      </c>
      <c r="C101" s="171" t="s">
        <v>1058</v>
      </c>
      <c r="D101" s="171" t="s">
        <v>667</v>
      </c>
      <c r="E101" s="171" t="s">
        <v>668</v>
      </c>
      <c r="F101" s="171" t="s">
        <v>669</v>
      </c>
      <c r="G101" s="171" t="s">
        <v>670</v>
      </c>
      <c r="H101" s="195">
        <v>2.0304000000000002</v>
      </c>
      <c r="I101" s="171" t="s">
        <v>671</v>
      </c>
      <c r="J101" s="57">
        <v>1</v>
      </c>
      <c r="K101" s="172">
        <v>2021</v>
      </c>
      <c r="L101" s="173" t="s">
        <v>1059</v>
      </c>
      <c r="M101" s="173" t="s">
        <v>954</v>
      </c>
      <c r="N101" s="174" t="s">
        <v>1060</v>
      </c>
      <c r="O101" s="171" t="s">
        <v>2500</v>
      </c>
      <c r="P101" s="171" t="s">
        <v>675</v>
      </c>
      <c r="Q101" s="209">
        <v>1996</v>
      </c>
      <c r="R101" s="171">
        <v>2</v>
      </c>
      <c r="S101" s="171"/>
      <c r="T101" s="173"/>
      <c r="U101" s="171"/>
      <c r="V101" s="171"/>
      <c r="W101" s="171"/>
      <c r="X101" s="57">
        <v>0</v>
      </c>
      <c r="Y101" s="172">
        <v>2</v>
      </c>
      <c r="Z101" s="175" t="s">
        <v>676</v>
      </c>
      <c r="AA101" s="176">
        <v>2021</v>
      </c>
      <c r="AB101" s="176">
        <v>7</v>
      </c>
      <c r="AC101" s="176">
        <v>15</v>
      </c>
      <c r="AD101" s="177" t="b">
        <f>IF(ISBLANK(GroupMember[[#This Row],[1. Identifiant interne d’exploitation agricole*]]),"",IF(ISERROR(MATCH(GroupMember[[#This Row],[1. Identifiant interne d’exploitation agricole*]],CertifiedCrop[1. Identifiant interne d’exploitation agricole*],0)),FALSE,TRUE))</f>
        <v>1</v>
      </c>
      <c r="AE101" s="177" t="b">
        <f>IF(ISBLANK(GroupMember[[#This Row],[1. Identifiant interne d’exploitation agricole*]]),"",IF(ISERROR(MATCH(GroupMember[[#This Row],[1. Identifiant interne d’exploitation agricole*]],FarmUnit[1. Identifiant interne d’exploitation agricole*],0)),FALSE,TRUE))</f>
        <v>1</v>
      </c>
      <c r="AF101" s="178" t="str">
        <f t="shared" si="4"/>
        <v>TALL ADAMA</v>
      </c>
      <c r="AG101" s="179" t="str">
        <f t="shared" si="5"/>
        <v>15/7/2021</v>
      </c>
      <c r="AH101" s="180">
        <f t="shared" si="7"/>
        <v>6</v>
      </c>
      <c r="AI101" s="181">
        <f t="shared" si="6"/>
        <v>0.16666666666666666</v>
      </c>
    </row>
    <row r="102" spans="1:35" ht="15">
      <c r="A102" s="170" t="s">
        <v>1061</v>
      </c>
      <c r="B102" s="171" t="s">
        <v>1061</v>
      </c>
      <c r="C102" s="171" t="s">
        <v>1061</v>
      </c>
      <c r="D102" s="171" t="s">
        <v>667</v>
      </c>
      <c r="E102" s="171" t="s">
        <v>668</v>
      </c>
      <c r="F102" s="171" t="s">
        <v>669</v>
      </c>
      <c r="G102" s="171" t="s">
        <v>670</v>
      </c>
      <c r="H102" s="195">
        <v>2.6722999999999999</v>
      </c>
      <c r="I102" s="171" t="s">
        <v>671</v>
      </c>
      <c r="J102" s="57">
        <v>1</v>
      </c>
      <c r="K102" s="172">
        <v>2021</v>
      </c>
      <c r="L102" s="173" t="s">
        <v>898</v>
      </c>
      <c r="M102" s="173" t="s">
        <v>1062</v>
      </c>
      <c r="N102" s="174" t="s">
        <v>884</v>
      </c>
      <c r="O102" s="171" t="s">
        <v>2501</v>
      </c>
      <c r="P102" s="171" t="s">
        <v>675</v>
      </c>
      <c r="Q102" s="209">
        <v>1988</v>
      </c>
      <c r="R102" s="171">
        <v>3</v>
      </c>
      <c r="S102" s="171"/>
      <c r="T102" s="173"/>
      <c r="U102" s="171"/>
      <c r="V102" s="171"/>
      <c r="W102" s="171"/>
      <c r="X102" s="57">
        <v>0</v>
      </c>
      <c r="Y102" s="172">
        <v>2</v>
      </c>
      <c r="Z102" s="175" t="s">
        <v>676</v>
      </c>
      <c r="AA102" s="176">
        <v>2021</v>
      </c>
      <c r="AB102" s="176">
        <v>7</v>
      </c>
      <c r="AC102" s="176">
        <v>30</v>
      </c>
      <c r="AD102" s="177" t="b">
        <f>IF(ISBLANK(GroupMember[[#This Row],[1. Identifiant interne d’exploitation agricole*]]),"",IF(ISERROR(MATCH(GroupMember[[#This Row],[1. Identifiant interne d’exploitation agricole*]],CertifiedCrop[1. Identifiant interne d’exploitation agricole*],0)),FALSE,TRUE))</f>
        <v>1</v>
      </c>
      <c r="AE102" s="177" t="b">
        <f>IF(ISBLANK(GroupMember[[#This Row],[1. Identifiant interne d’exploitation agricole*]]),"",IF(ISERROR(MATCH(GroupMember[[#This Row],[1. Identifiant interne d’exploitation agricole*]],FarmUnit[1. Identifiant interne d’exploitation agricole*],0)),FALSE,TRUE))</f>
        <v>1</v>
      </c>
      <c r="AF102" s="178" t="str">
        <f t="shared" si="4"/>
        <v>PAGBELGUEM NAPINGSON</v>
      </c>
      <c r="AG102" s="179" t="str">
        <f t="shared" si="5"/>
        <v>30/7/2021</v>
      </c>
      <c r="AH102" s="180">
        <f t="shared" si="7"/>
        <v>6</v>
      </c>
      <c r="AI102" s="181">
        <f t="shared" si="6"/>
        <v>0.16666666666666666</v>
      </c>
    </row>
    <row r="103" spans="1:35" ht="15">
      <c r="A103" s="170" t="s">
        <v>1063</v>
      </c>
      <c r="B103" s="171" t="s">
        <v>1063</v>
      </c>
      <c r="C103" s="171" t="s">
        <v>1063</v>
      </c>
      <c r="D103" s="171" t="s">
        <v>667</v>
      </c>
      <c r="E103" s="171" t="s">
        <v>668</v>
      </c>
      <c r="F103" s="171" t="s">
        <v>669</v>
      </c>
      <c r="G103" s="171" t="s">
        <v>670</v>
      </c>
      <c r="H103" s="195">
        <v>4.2275999999999998</v>
      </c>
      <c r="I103" s="171" t="s">
        <v>671</v>
      </c>
      <c r="J103" s="57">
        <v>1</v>
      </c>
      <c r="K103" s="172">
        <v>2021</v>
      </c>
      <c r="L103" s="173" t="s">
        <v>898</v>
      </c>
      <c r="M103" s="173" t="s">
        <v>1064</v>
      </c>
      <c r="N103" s="174" t="s">
        <v>1065</v>
      </c>
      <c r="O103" s="171" t="s">
        <v>1066</v>
      </c>
      <c r="P103" s="171" t="s">
        <v>675</v>
      </c>
      <c r="Q103" s="209">
        <v>1996</v>
      </c>
      <c r="R103" s="171">
        <v>6</v>
      </c>
      <c r="S103" s="171"/>
      <c r="T103" s="173"/>
      <c r="U103" s="171"/>
      <c r="V103" s="171"/>
      <c r="W103" s="171"/>
      <c r="X103" s="57">
        <v>0</v>
      </c>
      <c r="Y103" s="172">
        <v>2</v>
      </c>
      <c r="Z103" s="175" t="s">
        <v>676</v>
      </c>
      <c r="AA103" s="176">
        <v>2021</v>
      </c>
      <c r="AB103" s="176">
        <v>7</v>
      </c>
      <c r="AC103" s="176">
        <v>26</v>
      </c>
      <c r="AD103" s="177" t="b">
        <f>IF(ISBLANK(GroupMember[[#This Row],[1. Identifiant interne d’exploitation agricole*]]),"",IF(ISERROR(MATCH(GroupMember[[#This Row],[1. Identifiant interne d’exploitation agricole*]],CertifiedCrop[1. Identifiant interne d’exploitation agricole*],0)),FALSE,TRUE))</f>
        <v>1</v>
      </c>
      <c r="AE103" s="177" t="b">
        <f>IF(ISBLANK(GroupMember[[#This Row],[1. Identifiant interne d’exploitation agricole*]]),"",IF(ISERROR(MATCH(GroupMember[[#This Row],[1. Identifiant interne d’exploitation agricole*]],FarmUnit[1. Identifiant interne d’exploitation agricole*],0)),FALSE,TRUE))</f>
        <v>1</v>
      </c>
      <c r="AF103" s="178" t="str">
        <f t="shared" si="4"/>
        <v>PAGBELGUEM BINJAMIN</v>
      </c>
      <c r="AG103" s="179" t="str">
        <f t="shared" si="5"/>
        <v>26/7/2021</v>
      </c>
      <c r="AH103" s="180">
        <f t="shared" si="7"/>
        <v>5</v>
      </c>
      <c r="AI103" s="181">
        <f t="shared" si="6"/>
        <v>0.16666666666666666</v>
      </c>
    </row>
    <row r="104" spans="1:35" ht="15">
      <c r="A104" s="170" t="s">
        <v>1067</v>
      </c>
      <c r="B104" s="171" t="s">
        <v>1067</v>
      </c>
      <c r="C104" s="171" t="s">
        <v>1067</v>
      </c>
      <c r="D104" s="171" t="s">
        <v>667</v>
      </c>
      <c r="E104" s="171" t="s">
        <v>668</v>
      </c>
      <c r="F104" s="171" t="s">
        <v>669</v>
      </c>
      <c r="G104" s="171" t="s">
        <v>670</v>
      </c>
      <c r="H104" s="195">
        <v>2.6219000000000001</v>
      </c>
      <c r="I104" s="171" t="s">
        <v>671</v>
      </c>
      <c r="J104" s="57">
        <v>1</v>
      </c>
      <c r="K104" s="172">
        <v>2021</v>
      </c>
      <c r="L104" s="173" t="s">
        <v>898</v>
      </c>
      <c r="M104" s="173" t="s">
        <v>1068</v>
      </c>
      <c r="N104" s="174" t="s">
        <v>1069</v>
      </c>
      <c r="O104" s="57" t="s">
        <v>1840</v>
      </c>
      <c r="P104" s="171" t="s">
        <v>675</v>
      </c>
      <c r="Q104" s="209">
        <v>1994</v>
      </c>
      <c r="R104" s="171">
        <v>1</v>
      </c>
      <c r="S104" s="171"/>
      <c r="T104" s="173"/>
      <c r="U104" s="171"/>
      <c r="V104" s="171"/>
      <c r="W104" s="171"/>
      <c r="X104" s="57">
        <v>0</v>
      </c>
      <c r="Y104" s="172">
        <v>2</v>
      </c>
      <c r="Z104" s="175" t="s">
        <v>676</v>
      </c>
      <c r="AA104" s="176">
        <v>2021</v>
      </c>
      <c r="AB104" s="176">
        <v>8</v>
      </c>
      <c r="AC104" s="176">
        <v>11</v>
      </c>
      <c r="AD104" s="177" t="b">
        <f>IF(ISBLANK(GroupMember[[#This Row],[1. Identifiant interne d’exploitation agricole*]]),"",IF(ISERROR(MATCH(GroupMember[[#This Row],[1. Identifiant interne d’exploitation agricole*]],CertifiedCrop[1. Identifiant interne d’exploitation agricole*],0)),FALSE,TRUE))</f>
        <v>1</v>
      </c>
      <c r="AE104" s="177" t="b">
        <f>IF(ISBLANK(GroupMember[[#This Row],[1. Identifiant interne d’exploitation agricole*]]),"",IF(ISERROR(MATCH(GroupMember[[#This Row],[1. Identifiant interne d’exploitation agricole*]],FarmUnit[1. Identifiant interne d’exploitation agricole*],0)),FALSE,TRUE))</f>
        <v>1</v>
      </c>
      <c r="AF104" s="178" t="str">
        <f t="shared" si="4"/>
        <v>PAGBELGUEM DIMANCHE</v>
      </c>
      <c r="AG104" s="179" t="str">
        <f t="shared" si="5"/>
        <v>11/8/2021</v>
      </c>
      <c r="AH104" s="180">
        <f t="shared" si="7"/>
        <v>4</v>
      </c>
      <c r="AI104" s="181">
        <f t="shared" si="6"/>
        <v>0.16666666666666666</v>
      </c>
    </row>
    <row r="105" spans="1:35" ht="15">
      <c r="A105" s="170" t="s">
        <v>1070</v>
      </c>
      <c r="B105" s="171" t="s">
        <v>1070</v>
      </c>
      <c r="C105" s="171" t="s">
        <v>1070</v>
      </c>
      <c r="D105" s="171" t="s">
        <v>667</v>
      </c>
      <c r="E105" s="171" t="s">
        <v>668</v>
      </c>
      <c r="F105" s="171" t="s">
        <v>669</v>
      </c>
      <c r="G105" s="171" t="s">
        <v>670</v>
      </c>
      <c r="H105" s="195">
        <v>4.1157000000000004</v>
      </c>
      <c r="I105" s="171" t="s">
        <v>671</v>
      </c>
      <c r="J105" s="57">
        <v>1</v>
      </c>
      <c r="K105" s="172">
        <v>2021</v>
      </c>
      <c r="L105" s="173" t="s">
        <v>898</v>
      </c>
      <c r="M105" s="173" t="s">
        <v>1071</v>
      </c>
      <c r="N105" s="174" t="s">
        <v>1072</v>
      </c>
      <c r="O105" s="171" t="s">
        <v>2502</v>
      </c>
      <c r="P105" s="171" t="s">
        <v>675</v>
      </c>
      <c r="Q105" s="209">
        <v>1988</v>
      </c>
      <c r="R105" s="171">
        <v>3</v>
      </c>
      <c r="S105" s="171"/>
      <c r="T105" s="173"/>
      <c r="U105" s="171"/>
      <c r="V105" s="171"/>
      <c r="W105" s="171"/>
      <c r="X105" s="57">
        <v>0</v>
      </c>
      <c r="Y105" s="172">
        <v>2</v>
      </c>
      <c r="Z105" s="175" t="s">
        <v>676</v>
      </c>
      <c r="AA105" s="176">
        <v>2021</v>
      </c>
      <c r="AB105" s="176">
        <v>8</v>
      </c>
      <c r="AC105" s="176">
        <v>2</v>
      </c>
      <c r="AD105" s="177" t="b">
        <f>IF(ISBLANK(GroupMember[[#This Row],[1. Identifiant interne d’exploitation agricole*]]),"",IF(ISERROR(MATCH(GroupMember[[#This Row],[1. Identifiant interne d’exploitation agricole*]],CertifiedCrop[1. Identifiant interne d’exploitation agricole*],0)),FALSE,TRUE))</f>
        <v>1</v>
      </c>
      <c r="AE105" s="177" t="b">
        <f>IF(ISBLANK(GroupMember[[#This Row],[1. Identifiant interne d’exploitation agricole*]]),"",IF(ISERROR(MATCH(GroupMember[[#This Row],[1. Identifiant interne d’exploitation agricole*]],FarmUnit[1. Identifiant interne d’exploitation agricole*],0)),FALSE,TRUE))</f>
        <v>1</v>
      </c>
      <c r="AF105" s="178" t="str">
        <f t="shared" si="4"/>
        <v>PAGBELGUEM TEGAOUNDE</v>
      </c>
      <c r="AG105" s="179" t="str">
        <f t="shared" si="5"/>
        <v>2/8/2021</v>
      </c>
      <c r="AH105" s="180">
        <f t="shared" si="7"/>
        <v>5</v>
      </c>
      <c r="AI105" s="181">
        <f t="shared" si="6"/>
        <v>0.16666666666666666</v>
      </c>
    </row>
    <row r="106" spans="1:35" ht="15">
      <c r="A106" s="170" t="s">
        <v>1073</v>
      </c>
      <c r="B106" s="171" t="s">
        <v>1073</v>
      </c>
      <c r="C106" s="171" t="s">
        <v>1073</v>
      </c>
      <c r="D106" s="171" t="s">
        <v>667</v>
      </c>
      <c r="E106" s="171" t="s">
        <v>668</v>
      </c>
      <c r="F106" s="171" t="s">
        <v>669</v>
      </c>
      <c r="G106" s="171" t="s">
        <v>670</v>
      </c>
      <c r="H106" s="195">
        <v>4.5859000000000005</v>
      </c>
      <c r="I106" s="171" t="s">
        <v>671</v>
      </c>
      <c r="J106" s="57">
        <v>1</v>
      </c>
      <c r="K106" s="172">
        <v>2021</v>
      </c>
      <c r="L106" s="173" t="s">
        <v>898</v>
      </c>
      <c r="M106" s="173" t="s">
        <v>1074</v>
      </c>
      <c r="N106" s="174" t="s">
        <v>1075</v>
      </c>
      <c r="O106" s="57" t="s">
        <v>1841</v>
      </c>
      <c r="P106" s="171" t="s">
        <v>675</v>
      </c>
      <c r="Q106" s="209">
        <v>1991</v>
      </c>
      <c r="R106" s="171">
        <v>5</v>
      </c>
      <c r="S106" s="171"/>
      <c r="T106" s="173"/>
      <c r="U106" s="171"/>
      <c r="V106" s="171"/>
      <c r="W106" s="171"/>
      <c r="X106" s="57">
        <v>0</v>
      </c>
      <c r="Y106" s="172">
        <v>2</v>
      </c>
      <c r="Z106" s="175" t="s">
        <v>676</v>
      </c>
      <c r="AA106" s="176">
        <v>2021</v>
      </c>
      <c r="AB106" s="176">
        <v>7</v>
      </c>
      <c r="AC106" s="176">
        <v>21</v>
      </c>
      <c r="AD106" s="177" t="b">
        <f>IF(ISBLANK(GroupMember[[#This Row],[1. Identifiant interne d’exploitation agricole*]]),"",IF(ISERROR(MATCH(GroupMember[[#This Row],[1. Identifiant interne d’exploitation agricole*]],CertifiedCrop[1. Identifiant interne d’exploitation agricole*],0)),FALSE,TRUE))</f>
        <v>1</v>
      </c>
      <c r="AE106" s="177" t="b">
        <f>IF(ISBLANK(GroupMember[[#This Row],[1. Identifiant interne d’exploitation agricole*]]),"",IF(ISERROR(MATCH(GroupMember[[#This Row],[1. Identifiant interne d’exploitation agricole*]],FarmUnit[1. Identifiant interne d’exploitation agricole*],0)),FALSE,TRUE))</f>
        <v>1</v>
      </c>
      <c r="AF106" s="178" t="str">
        <f t="shared" si="4"/>
        <v>PAGBELGUEM MINTIRI MOUSSA</v>
      </c>
      <c r="AG106" s="179" t="str">
        <f t="shared" si="5"/>
        <v>21/7/2021</v>
      </c>
      <c r="AH106" s="180">
        <f t="shared" si="7"/>
        <v>6</v>
      </c>
      <c r="AI106" s="181">
        <f t="shared" si="6"/>
        <v>0.16666666666666666</v>
      </c>
    </row>
    <row r="107" spans="1:35" ht="15">
      <c r="A107" s="170" t="s">
        <v>1076</v>
      </c>
      <c r="B107" s="171" t="s">
        <v>1076</v>
      </c>
      <c r="C107" s="171" t="s">
        <v>1076</v>
      </c>
      <c r="D107" s="171" t="s">
        <v>667</v>
      </c>
      <c r="E107" s="171" t="s">
        <v>668</v>
      </c>
      <c r="F107" s="171" t="s">
        <v>669</v>
      </c>
      <c r="G107" s="171" t="s">
        <v>670</v>
      </c>
      <c r="H107" s="195">
        <v>1.7342</v>
      </c>
      <c r="I107" s="171" t="s">
        <v>671</v>
      </c>
      <c r="J107" s="57">
        <v>1</v>
      </c>
      <c r="K107" s="172">
        <v>2021</v>
      </c>
      <c r="L107" s="173" t="s">
        <v>898</v>
      </c>
      <c r="M107" s="173" t="s">
        <v>1077</v>
      </c>
      <c r="N107" s="174" t="s">
        <v>1078</v>
      </c>
      <c r="O107" s="171" t="s">
        <v>2504</v>
      </c>
      <c r="P107" s="171" t="s">
        <v>675</v>
      </c>
      <c r="Q107" s="209">
        <v>1990</v>
      </c>
      <c r="R107" s="171">
        <v>3</v>
      </c>
      <c r="S107" s="171"/>
      <c r="T107" s="173"/>
      <c r="U107" s="171"/>
      <c r="V107" s="171"/>
      <c r="W107" s="171"/>
      <c r="X107" s="57">
        <v>0</v>
      </c>
      <c r="Y107" s="172">
        <v>2</v>
      </c>
      <c r="Z107" s="175" t="s">
        <v>676</v>
      </c>
      <c r="AA107" s="176">
        <v>2021</v>
      </c>
      <c r="AB107" s="176">
        <v>8</v>
      </c>
      <c r="AC107" s="176">
        <v>2</v>
      </c>
      <c r="AD107" s="177" t="b">
        <f>IF(ISBLANK(GroupMember[[#This Row],[1. Identifiant interne d’exploitation agricole*]]),"",IF(ISERROR(MATCH(GroupMember[[#This Row],[1. Identifiant interne d’exploitation agricole*]],CertifiedCrop[1. Identifiant interne d’exploitation agricole*],0)),FALSE,TRUE))</f>
        <v>1</v>
      </c>
      <c r="AE107" s="177" t="b">
        <f>IF(ISBLANK(GroupMember[[#This Row],[1. Identifiant interne d’exploitation agricole*]]),"",IF(ISERROR(MATCH(GroupMember[[#This Row],[1. Identifiant interne d’exploitation agricole*]],FarmUnit[1. Identifiant interne d’exploitation agricole*],0)),FALSE,TRUE))</f>
        <v>1</v>
      </c>
      <c r="AF107" s="178" t="str">
        <f t="shared" si="4"/>
        <v>PAGBELGUEM YANDAOGO</v>
      </c>
      <c r="AG107" s="179" t="str">
        <f t="shared" si="5"/>
        <v>2/8/2021</v>
      </c>
      <c r="AH107" s="180">
        <f t="shared" si="7"/>
        <v>5</v>
      </c>
      <c r="AI107" s="181">
        <f t="shared" si="6"/>
        <v>0.16666666666666666</v>
      </c>
    </row>
    <row r="108" spans="1:35" ht="15">
      <c r="A108" s="170" t="s">
        <v>1079</v>
      </c>
      <c r="B108" s="171" t="s">
        <v>1079</v>
      </c>
      <c r="C108" s="171" t="s">
        <v>1079</v>
      </c>
      <c r="D108" s="171" t="s">
        <v>667</v>
      </c>
      <c r="E108" s="171" t="s">
        <v>668</v>
      </c>
      <c r="F108" s="171" t="s">
        <v>669</v>
      </c>
      <c r="G108" s="171" t="s">
        <v>670</v>
      </c>
      <c r="H108" s="195">
        <v>5.6910999999999996</v>
      </c>
      <c r="I108" s="171" t="s">
        <v>671</v>
      </c>
      <c r="J108" s="57">
        <v>1</v>
      </c>
      <c r="K108" s="172">
        <v>2021</v>
      </c>
      <c r="L108" s="173" t="s">
        <v>898</v>
      </c>
      <c r="M108" s="173" t="s">
        <v>1080</v>
      </c>
      <c r="N108" s="174" t="s">
        <v>884</v>
      </c>
      <c r="O108" s="171" t="s">
        <v>1081</v>
      </c>
      <c r="P108" s="171" t="s">
        <v>675</v>
      </c>
      <c r="Q108" s="209">
        <v>1991</v>
      </c>
      <c r="R108" s="171">
        <v>3</v>
      </c>
      <c r="S108" s="171"/>
      <c r="T108" s="173"/>
      <c r="U108" s="171"/>
      <c r="V108" s="171"/>
      <c r="W108" s="171"/>
      <c r="X108" s="57">
        <v>0</v>
      </c>
      <c r="Y108" s="172">
        <v>2</v>
      </c>
      <c r="Z108" s="175" t="s">
        <v>676</v>
      </c>
      <c r="AA108" s="176">
        <v>2021</v>
      </c>
      <c r="AB108" s="176">
        <v>7</v>
      </c>
      <c r="AC108" s="176">
        <v>14</v>
      </c>
      <c r="AD108" s="177" t="b">
        <f>IF(ISBLANK(GroupMember[[#This Row],[1. Identifiant interne d’exploitation agricole*]]),"",IF(ISERROR(MATCH(GroupMember[[#This Row],[1. Identifiant interne d’exploitation agricole*]],CertifiedCrop[1. Identifiant interne d’exploitation agricole*],0)),FALSE,TRUE))</f>
        <v>1</v>
      </c>
      <c r="AE108" s="177" t="b">
        <f>IF(ISBLANK(GroupMember[[#This Row],[1. Identifiant interne d’exploitation agricole*]]),"",IF(ISERROR(MATCH(GroupMember[[#This Row],[1. Identifiant interne d’exploitation agricole*]],FarmUnit[1. Identifiant interne d’exploitation agricole*],0)),FALSE,TRUE))</f>
        <v>1</v>
      </c>
      <c r="AF108" s="178" t="str">
        <f t="shared" si="4"/>
        <v>PAGBELGUEM KOUKA ABDOULAYE</v>
      </c>
      <c r="AG108" s="179" t="str">
        <f t="shared" si="5"/>
        <v>14/7/2021</v>
      </c>
      <c r="AH108" s="180">
        <f t="shared" si="7"/>
        <v>5</v>
      </c>
      <c r="AI108" s="181">
        <f t="shared" si="6"/>
        <v>0.16666666666666666</v>
      </c>
    </row>
    <row r="109" spans="1:35" ht="15">
      <c r="A109" s="170" t="s">
        <v>1082</v>
      </c>
      <c r="B109" s="171" t="s">
        <v>1082</v>
      </c>
      <c r="C109" s="171" t="s">
        <v>1082</v>
      </c>
      <c r="D109" s="171" t="s">
        <v>667</v>
      </c>
      <c r="E109" s="171" t="s">
        <v>668</v>
      </c>
      <c r="F109" s="171" t="s">
        <v>669</v>
      </c>
      <c r="G109" s="171" t="s">
        <v>670</v>
      </c>
      <c r="H109" s="195">
        <v>6.1916000000000002</v>
      </c>
      <c r="I109" s="171" t="s">
        <v>671</v>
      </c>
      <c r="J109" s="57">
        <v>1</v>
      </c>
      <c r="K109" s="172">
        <v>2021</v>
      </c>
      <c r="L109" s="173" t="s">
        <v>898</v>
      </c>
      <c r="M109" s="173" t="s">
        <v>1083</v>
      </c>
      <c r="N109" s="174" t="s">
        <v>1084</v>
      </c>
      <c r="O109" s="57" t="s">
        <v>1836</v>
      </c>
      <c r="P109" s="171" t="s">
        <v>675</v>
      </c>
      <c r="Q109" s="209">
        <v>1988</v>
      </c>
      <c r="R109" s="171">
        <v>11</v>
      </c>
      <c r="S109" s="171"/>
      <c r="T109" s="173"/>
      <c r="U109" s="171"/>
      <c r="V109" s="171"/>
      <c r="W109" s="171"/>
      <c r="X109" s="57">
        <v>0</v>
      </c>
      <c r="Y109" s="172">
        <v>2</v>
      </c>
      <c r="Z109" s="175" t="s">
        <v>676</v>
      </c>
      <c r="AA109" s="176">
        <v>2021</v>
      </c>
      <c r="AB109" s="176">
        <v>7</v>
      </c>
      <c r="AC109" s="176">
        <v>8</v>
      </c>
      <c r="AD109" s="177" t="b">
        <f>IF(ISBLANK(GroupMember[[#This Row],[1. Identifiant interne d’exploitation agricole*]]),"",IF(ISERROR(MATCH(GroupMember[[#This Row],[1. Identifiant interne d’exploitation agricole*]],CertifiedCrop[1. Identifiant interne d’exploitation agricole*],0)),FALSE,TRUE))</f>
        <v>1</v>
      </c>
      <c r="AE109" s="177" t="b">
        <f>IF(ISBLANK(GroupMember[[#This Row],[1. Identifiant interne d’exploitation agricole*]]),"",IF(ISERROR(MATCH(GroupMember[[#This Row],[1. Identifiant interne d’exploitation agricole*]],FarmUnit[1. Identifiant interne d’exploitation agricole*],0)),FALSE,TRUE))</f>
        <v>1</v>
      </c>
      <c r="AF109" s="178" t="str">
        <f t="shared" si="4"/>
        <v>PAGBELGUEM MOUSSA BANGBA</v>
      </c>
      <c r="AG109" s="179" t="str">
        <f t="shared" si="5"/>
        <v>8/7/2021</v>
      </c>
      <c r="AH109" s="180">
        <f t="shared" si="7"/>
        <v>6</v>
      </c>
      <c r="AI109" s="181">
        <f t="shared" si="6"/>
        <v>0.16666666666666666</v>
      </c>
    </row>
    <row r="110" spans="1:35" ht="15">
      <c r="A110" s="170" t="s">
        <v>1085</v>
      </c>
      <c r="B110" s="171" t="s">
        <v>1085</v>
      </c>
      <c r="C110" s="171" t="s">
        <v>1085</v>
      </c>
      <c r="D110" s="171" t="s">
        <v>667</v>
      </c>
      <c r="E110" s="171" t="s">
        <v>668</v>
      </c>
      <c r="F110" s="171" t="s">
        <v>669</v>
      </c>
      <c r="G110" s="171" t="s">
        <v>670</v>
      </c>
      <c r="H110" s="195">
        <v>2.8348</v>
      </c>
      <c r="I110" s="171" t="s">
        <v>671</v>
      </c>
      <c r="J110" s="57">
        <v>1</v>
      </c>
      <c r="K110" s="172">
        <v>2021</v>
      </c>
      <c r="L110" s="173" t="s">
        <v>898</v>
      </c>
      <c r="M110" s="173" t="s">
        <v>1086</v>
      </c>
      <c r="N110" s="174" t="s">
        <v>1087</v>
      </c>
      <c r="O110" s="57" t="s">
        <v>1842</v>
      </c>
      <c r="P110" s="171" t="s">
        <v>675</v>
      </c>
      <c r="Q110" s="209">
        <v>1965</v>
      </c>
      <c r="R110" s="171">
        <v>5</v>
      </c>
      <c r="S110" s="171"/>
      <c r="T110" s="173"/>
      <c r="U110" s="171"/>
      <c r="V110" s="171"/>
      <c r="W110" s="171"/>
      <c r="X110" s="57">
        <v>0</v>
      </c>
      <c r="Y110" s="172">
        <v>2</v>
      </c>
      <c r="Z110" s="175" t="s">
        <v>676</v>
      </c>
      <c r="AA110" s="176">
        <v>2021</v>
      </c>
      <c r="AB110" s="176">
        <v>8</v>
      </c>
      <c r="AC110" s="176">
        <v>3</v>
      </c>
      <c r="AD110" s="177" t="b">
        <f>IF(ISBLANK(GroupMember[[#This Row],[1. Identifiant interne d’exploitation agricole*]]),"",IF(ISERROR(MATCH(GroupMember[[#This Row],[1. Identifiant interne d’exploitation agricole*]],CertifiedCrop[1. Identifiant interne d’exploitation agricole*],0)),FALSE,TRUE))</f>
        <v>1</v>
      </c>
      <c r="AE110" s="177" t="b">
        <f>IF(ISBLANK(GroupMember[[#This Row],[1. Identifiant interne d’exploitation agricole*]]),"",IF(ISERROR(MATCH(GroupMember[[#This Row],[1. Identifiant interne d’exploitation agricole*]],FarmUnit[1. Identifiant interne d’exploitation agricole*],0)),FALSE,TRUE))</f>
        <v>1</v>
      </c>
      <c r="AF110" s="178" t="str">
        <f t="shared" si="4"/>
        <v>PAGBELGUEM HAMIDOU</v>
      </c>
      <c r="AG110" s="179" t="str">
        <f t="shared" si="5"/>
        <v>3/8/2021</v>
      </c>
      <c r="AH110" s="180">
        <f t="shared" si="7"/>
        <v>6</v>
      </c>
      <c r="AI110" s="181">
        <f t="shared" si="6"/>
        <v>0.16666666666666666</v>
      </c>
    </row>
    <row r="111" spans="1:35" ht="15">
      <c r="A111" s="170" t="s">
        <v>1088</v>
      </c>
      <c r="B111" s="171" t="s">
        <v>1088</v>
      </c>
      <c r="C111" s="171" t="s">
        <v>1088</v>
      </c>
      <c r="D111" s="171" t="s">
        <v>667</v>
      </c>
      <c r="E111" s="171" t="s">
        <v>668</v>
      </c>
      <c r="F111" s="171" t="s">
        <v>669</v>
      </c>
      <c r="G111" s="171" t="s">
        <v>670</v>
      </c>
      <c r="H111" s="195">
        <v>5.2732000000000001</v>
      </c>
      <c r="I111" s="171" t="s">
        <v>671</v>
      </c>
      <c r="J111" s="57">
        <v>1</v>
      </c>
      <c r="K111" s="172">
        <v>2021</v>
      </c>
      <c r="L111" s="173" t="s">
        <v>749</v>
      </c>
      <c r="M111" s="173" t="s">
        <v>1089</v>
      </c>
      <c r="N111" s="174" t="s">
        <v>1090</v>
      </c>
      <c r="O111" s="171" t="s">
        <v>2505</v>
      </c>
      <c r="P111" s="171" t="s">
        <v>675</v>
      </c>
      <c r="Q111" s="209">
        <v>1987</v>
      </c>
      <c r="R111" s="171">
        <v>6</v>
      </c>
      <c r="S111" s="171"/>
      <c r="T111" s="173"/>
      <c r="U111" s="171"/>
      <c r="V111" s="171"/>
      <c r="W111" s="171"/>
      <c r="X111" s="57">
        <v>0</v>
      </c>
      <c r="Y111" s="172">
        <v>2</v>
      </c>
      <c r="Z111" s="175" t="s">
        <v>676</v>
      </c>
      <c r="AA111" s="176">
        <v>2021</v>
      </c>
      <c r="AB111" s="176">
        <v>7</v>
      </c>
      <c r="AC111" s="176">
        <v>29</v>
      </c>
      <c r="AD111" s="177" t="b">
        <f>IF(ISBLANK(GroupMember[[#This Row],[1. Identifiant interne d’exploitation agricole*]]),"",IF(ISERROR(MATCH(GroupMember[[#This Row],[1. Identifiant interne d’exploitation agricole*]],CertifiedCrop[1. Identifiant interne d’exploitation agricole*],0)),FALSE,TRUE))</f>
        <v>1</v>
      </c>
      <c r="AE111" s="177" t="b">
        <f>IF(ISBLANK(GroupMember[[#This Row],[1. Identifiant interne d’exploitation agricole*]]),"",IF(ISERROR(MATCH(GroupMember[[#This Row],[1. Identifiant interne d’exploitation agricole*]],FarmUnit[1. Identifiant interne d’exploitation agricole*],0)),FALSE,TRUE))</f>
        <v>1</v>
      </c>
      <c r="AF111" s="178" t="str">
        <f t="shared" si="4"/>
        <v xml:space="preserve">SAWADOGO  MOUSSA </v>
      </c>
      <c r="AG111" s="179" t="str">
        <f t="shared" si="5"/>
        <v>29/7/2021</v>
      </c>
      <c r="AH111" s="180">
        <f t="shared" si="7"/>
        <v>5</v>
      </c>
      <c r="AI111" s="181">
        <f t="shared" si="6"/>
        <v>0.16666666666666666</v>
      </c>
    </row>
    <row r="112" spans="1:35" ht="15">
      <c r="A112" s="170" t="s">
        <v>1091</v>
      </c>
      <c r="B112" s="171" t="s">
        <v>1091</v>
      </c>
      <c r="C112" s="171" t="s">
        <v>1091</v>
      </c>
      <c r="D112" s="171" t="s">
        <v>667</v>
      </c>
      <c r="E112" s="171" t="s">
        <v>668</v>
      </c>
      <c r="F112" s="171" t="s">
        <v>669</v>
      </c>
      <c r="G112" s="171" t="s">
        <v>670</v>
      </c>
      <c r="H112" s="195">
        <v>2.6059999999999999</v>
      </c>
      <c r="I112" s="171" t="s">
        <v>671</v>
      </c>
      <c r="J112" s="57">
        <v>1</v>
      </c>
      <c r="K112" s="172">
        <v>2021</v>
      </c>
      <c r="L112" s="173" t="s">
        <v>749</v>
      </c>
      <c r="M112" s="173" t="s">
        <v>977</v>
      </c>
      <c r="N112" s="174" t="s">
        <v>1092</v>
      </c>
      <c r="O112" s="171" t="s">
        <v>2506</v>
      </c>
      <c r="P112" s="171" t="s">
        <v>675</v>
      </c>
      <c r="Q112" s="209">
        <v>1987</v>
      </c>
      <c r="R112" s="171">
        <v>5</v>
      </c>
      <c r="S112" s="171"/>
      <c r="T112" s="173"/>
      <c r="U112" s="171"/>
      <c r="V112" s="171"/>
      <c r="W112" s="171"/>
      <c r="X112" s="57">
        <v>0</v>
      </c>
      <c r="Y112" s="172">
        <v>2</v>
      </c>
      <c r="Z112" s="175" t="s">
        <v>676</v>
      </c>
      <c r="AA112" s="176">
        <v>2021</v>
      </c>
      <c r="AB112" s="176">
        <v>7</v>
      </c>
      <c r="AC112" s="176">
        <v>20</v>
      </c>
      <c r="AD112" s="177" t="b">
        <f>IF(ISBLANK(GroupMember[[#This Row],[1. Identifiant interne d’exploitation agricole*]]),"",IF(ISERROR(MATCH(GroupMember[[#This Row],[1. Identifiant interne d’exploitation agricole*]],CertifiedCrop[1. Identifiant interne d’exploitation agricole*],0)),FALSE,TRUE))</f>
        <v>1</v>
      </c>
      <c r="AE112" s="177" t="b">
        <f>IF(ISBLANK(GroupMember[[#This Row],[1. Identifiant interne d’exploitation agricole*]]),"",IF(ISERROR(MATCH(GroupMember[[#This Row],[1. Identifiant interne d’exploitation agricole*]],FarmUnit[1. Identifiant interne d’exploitation agricole*],0)),FALSE,TRUE))</f>
        <v>1</v>
      </c>
      <c r="AF112" s="178" t="str">
        <f t="shared" si="4"/>
        <v>SAWADOGO  SOUMAILA</v>
      </c>
      <c r="AG112" s="179" t="str">
        <f t="shared" si="5"/>
        <v>20/7/2021</v>
      </c>
      <c r="AH112" s="180">
        <f t="shared" si="7"/>
        <v>6</v>
      </c>
      <c r="AI112" s="181">
        <f t="shared" si="6"/>
        <v>0.16666666666666666</v>
      </c>
    </row>
    <row r="113" spans="1:35" ht="15">
      <c r="A113" s="170" t="s">
        <v>1093</v>
      </c>
      <c r="B113" s="171" t="s">
        <v>1093</v>
      </c>
      <c r="C113" s="171" t="s">
        <v>1093</v>
      </c>
      <c r="D113" s="171" t="s">
        <v>667</v>
      </c>
      <c r="E113" s="171" t="s">
        <v>668</v>
      </c>
      <c r="F113" s="171" t="s">
        <v>669</v>
      </c>
      <c r="G113" s="171" t="s">
        <v>670</v>
      </c>
      <c r="H113" s="195">
        <v>2.6537999999999999</v>
      </c>
      <c r="I113" s="171" t="s">
        <v>671</v>
      </c>
      <c r="J113" s="57">
        <v>1</v>
      </c>
      <c r="K113" s="172">
        <v>2021</v>
      </c>
      <c r="L113" s="173" t="s">
        <v>749</v>
      </c>
      <c r="M113" s="173" t="s">
        <v>1094</v>
      </c>
      <c r="N113" s="174" t="s">
        <v>1095</v>
      </c>
      <c r="O113" s="171" t="s">
        <v>1096</v>
      </c>
      <c r="P113" s="171" t="s">
        <v>675</v>
      </c>
      <c r="Q113" s="209">
        <v>1983</v>
      </c>
      <c r="R113" s="171">
        <v>4</v>
      </c>
      <c r="S113" s="171"/>
      <c r="T113" s="173"/>
      <c r="U113" s="171"/>
      <c r="V113" s="171"/>
      <c r="W113" s="171"/>
      <c r="X113" s="57">
        <v>0</v>
      </c>
      <c r="Y113" s="172">
        <v>2</v>
      </c>
      <c r="Z113" s="175" t="s">
        <v>676</v>
      </c>
      <c r="AA113" s="176">
        <v>2021</v>
      </c>
      <c r="AB113" s="176">
        <v>8</v>
      </c>
      <c r="AC113" s="176">
        <v>4</v>
      </c>
      <c r="AD113" s="177" t="b">
        <f>IF(ISBLANK(GroupMember[[#This Row],[1. Identifiant interne d’exploitation agricole*]]),"",IF(ISERROR(MATCH(GroupMember[[#This Row],[1. Identifiant interne d’exploitation agricole*]],CertifiedCrop[1. Identifiant interne d’exploitation agricole*],0)),FALSE,TRUE))</f>
        <v>1</v>
      </c>
      <c r="AE113" s="177" t="b">
        <f>IF(ISBLANK(GroupMember[[#This Row],[1. Identifiant interne d’exploitation agricole*]]),"",IF(ISERROR(MATCH(GroupMember[[#This Row],[1. Identifiant interne d’exploitation agricole*]],FarmUnit[1. Identifiant interne d’exploitation agricole*],0)),FALSE,TRUE))</f>
        <v>1</v>
      </c>
      <c r="AF113" s="178" t="str">
        <f t="shared" si="4"/>
        <v>SAWADOGO  SOURNAMA</v>
      </c>
      <c r="AG113" s="179" t="str">
        <f t="shared" si="5"/>
        <v>4/8/2021</v>
      </c>
      <c r="AH113" s="180">
        <f t="shared" si="7"/>
        <v>6</v>
      </c>
      <c r="AI113" s="181">
        <f t="shared" si="6"/>
        <v>0.16666666666666666</v>
      </c>
    </row>
    <row r="114" spans="1:35" ht="25.5">
      <c r="A114" s="170" t="s">
        <v>1097</v>
      </c>
      <c r="B114" s="171" t="s">
        <v>1097</v>
      </c>
      <c r="C114" s="171" t="s">
        <v>1097</v>
      </c>
      <c r="D114" s="171" t="s">
        <v>667</v>
      </c>
      <c r="E114" s="171" t="s">
        <v>668</v>
      </c>
      <c r="F114" s="171" t="s">
        <v>669</v>
      </c>
      <c r="G114" s="171" t="s">
        <v>670</v>
      </c>
      <c r="H114" s="195">
        <v>5.5617000000000001</v>
      </c>
      <c r="I114" s="171" t="s">
        <v>671</v>
      </c>
      <c r="J114" s="57">
        <v>1</v>
      </c>
      <c r="K114" s="172">
        <v>2021</v>
      </c>
      <c r="L114" s="173" t="s">
        <v>1098</v>
      </c>
      <c r="M114" s="173" t="s">
        <v>1099</v>
      </c>
      <c r="N114" s="174" t="s">
        <v>1100</v>
      </c>
      <c r="O114" s="57" t="s">
        <v>1843</v>
      </c>
      <c r="P114" s="171" t="s">
        <v>675</v>
      </c>
      <c r="Q114" s="209">
        <v>1978</v>
      </c>
      <c r="R114" s="171">
        <v>7</v>
      </c>
      <c r="S114" s="171"/>
      <c r="T114" s="173"/>
      <c r="U114" s="171"/>
      <c r="V114" s="171"/>
      <c r="W114" s="171"/>
      <c r="X114" s="57">
        <v>0</v>
      </c>
      <c r="Y114" s="172">
        <v>2</v>
      </c>
      <c r="Z114" s="175" t="s">
        <v>676</v>
      </c>
      <c r="AA114" s="176">
        <v>2021</v>
      </c>
      <c r="AB114" s="176">
        <v>8</v>
      </c>
      <c r="AC114" s="176">
        <v>3</v>
      </c>
      <c r="AD114" s="177" t="b">
        <f>IF(ISBLANK(GroupMember[[#This Row],[1. Identifiant interne d’exploitation agricole*]]),"",IF(ISERROR(MATCH(GroupMember[[#This Row],[1. Identifiant interne d’exploitation agricole*]],CertifiedCrop[1. Identifiant interne d’exploitation agricole*],0)),FALSE,TRUE))</f>
        <v>1</v>
      </c>
      <c r="AE114" s="177" t="b">
        <f>IF(ISBLANK(GroupMember[[#This Row],[1. Identifiant interne d’exploitation agricole*]]),"",IF(ISERROR(MATCH(GroupMember[[#This Row],[1. Identifiant interne d’exploitation agricole*]],FarmUnit[1. Identifiant interne d’exploitation agricole*],0)),FALSE,TRUE))</f>
        <v>1</v>
      </c>
      <c r="AF114" s="178" t="str">
        <f t="shared" si="4"/>
        <v>SAMA  GUETABA DIT DOMINIQUE</v>
      </c>
      <c r="AG114" s="179" t="str">
        <f t="shared" si="5"/>
        <v>3/8/2021</v>
      </c>
      <c r="AH114" s="180">
        <f t="shared" si="7"/>
        <v>6</v>
      </c>
      <c r="AI114" s="181">
        <f t="shared" si="6"/>
        <v>0.16666666666666666</v>
      </c>
    </row>
    <row r="115" spans="1:35" ht="15">
      <c r="A115" s="170" t="s">
        <v>1101</v>
      </c>
      <c r="B115" s="171" t="s">
        <v>1101</v>
      </c>
      <c r="C115" s="171" t="s">
        <v>1101</v>
      </c>
      <c r="D115" s="171" t="s">
        <v>667</v>
      </c>
      <c r="E115" s="171" t="s">
        <v>668</v>
      </c>
      <c r="F115" s="171" t="s">
        <v>669</v>
      </c>
      <c r="G115" s="171" t="s">
        <v>670</v>
      </c>
      <c r="H115" s="195">
        <v>3.9447999999999999</v>
      </c>
      <c r="I115" s="171" t="s">
        <v>671</v>
      </c>
      <c r="J115" s="57">
        <v>1</v>
      </c>
      <c r="K115" s="172">
        <v>2021</v>
      </c>
      <c r="L115" s="173" t="s">
        <v>1102</v>
      </c>
      <c r="M115" s="173" t="s">
        <v>1103</v>
      </c>
      <c r="N115" s="174" t="s">
        <v>1104</v>
      </c>
      <c r="O115" s="171" t="s">
        <v>1105</v>
      </c>
      <c r="P115" s="171" t="s">
        <v>675</v>
      </c>
      <c r="Q115" s="209">
        <v>1979</v>
      </c>
      <c r="R115" s="171">
        <v>5</v>
      </c>
      <c r="S115" s="171"/>
      <c r="T115" s="173"/>
      <c r="U115" s="171"/>
      <c r="V115" s="171"/>
      <c r="W115" s="171"/>
      <c r="X115" s="57">
        <v>0</v>
      </c>
      <c r="Y115" s="172">
        <v>2</v>
      </c>
      <c r="Z115" s="175" t="s">
        <v>676</v>
      </c>
      <c r="AA115" s="176">
        <v>2021</v>
      </c>
      <c r="AB115" s="176">
        <v>7</v>
      </c>
      <c r="AC115" s="176">
        <v>21</v>
      </c>
      <c r="AD115" s="177" t="b">
        <f>IF(ISBLANK(GroupMember[[#This Row],[1. Identifiant interne d’exploitation agricole*]]),"",IF(ISERROR(MATCH(GroupMember[[#This Row],[1. Identifiant interne d’exploitation agricole*]],CertifiedCrop[1. Identifiant interne d’exploitation agricole*],0)),FALSE,TRUE))</f>
        <v>1</v>
      </c>
      <c r="AE115" s="177" t="b">
        <f>IF(ISBLANK(GroupMember[[#This Row],[1. Identifiant interne d’exploitation agricole*]]),"",IF(ISERROR(MATCH(GroupMember[[#This Row],[1. Identifiant interne d’exploitation agricole*]],FarmUnit[1. Identifiant interne d’exploitation agricole*],0)),FALSE,TRUE))</f>
        <v>1</v>
      </c>
      <c r="AF115" s="178" t="str">
        <f t="shared" ref="AF115:AF178" si="8">IFERROR(CONCATENATE(L115," ",M115),"")</f>
        <v>SOWDO  YAHAYA</v>
      </c>
      <c r="AG115" s="179" t="str">
        <f t="shared" ref="AG115:AG178" si="9">CONCATENATE(AC115,"/",AB115,"/",AA115)</f>
        <v>21/7/2021</v>
      </c>
      <c r="AH115" s="180">
        <f t="shared" si="7"/>
        <v>6</v>
      </c>
      <c r="AI115" s="181">
        <f t="shared" ref="AI115:AI178" si="10">IF((X115+Y115/12)&lt;0,"",(X115+Y115/12))</f>
        <v>0.16666666666666666</v>
      </c>
    </row>
    <row r="116" spans="1:35" ht="15">
      <c r="A116" s="170" t="s">
        <v>1106</v>
      </c>
      <c r="B116" s="171" t="s">
        <v>1106</v>
      </c>
      <c r="C116" s="171" t="s">
        <v>1106</v>
      </c>
      <c r="D116" s="171" t="s">
        <v>667</v>
      </c>
      <c r="E116" s="171" t="s">
        <v>668</v>
      </c>
      <c r="F116" s="171" t="s">
        <v>669</v>
      </c>
      <c r="G116" s="171" t="s">
        <v>670</v>
      </c>
      <c r="H116" s="195">
        <v>3.5310999999999999</v>
      </c>
      <c r="I116" s="171" t="s">
        <v>671</v>
      </c>
      <c r="J116" s="57">
        <v>1</v>
      </c>
      <c r="K116" s="172">
        <v>2021</v>
      </c>
      <c r="L116" s="173" t="s">
        <v>678</v>
      </c>
      <c r="M116" s="173" t="s">
        <v>1107</v>
      </c>
      <c r="N116" s="174" t="s">
        <v>1108</v>
      </c>
      <c r="O116" s="171" t="s">
        <v>2507</v>
      </c>
      <c r="P116" s="171" t="s">
        <v>675</v>
      </c>
      <c r="Q116" s="209">
        <v>1974</v>
      </c>
      <c r="R116" s="171">
        <v>8</v>
      </c>
      <c r="S116" s="171"/>
      <c r="T116" s="173"/>
      <c r="U116" s="171"/>
      <c r="V116" s="171"/>
      <c r="W116" s="171"/>
      <c r="X116" s="57">
        <v>0</v>
      </c>
      <c r="Y116" s="172">
        <v>2</v>
      </c>
      <c r="Z116" s="175" t="s">
        <v>676</v>
      </c>
      <c r="AA116" s="176">
        <v>2021</v>
      </c>
      <c r="AB116" s="176">
        <v>8</v>
      </c>
      <c r="AC116" s="176">
        <v>5</v>
      </c>
      <c r="AD116" s="177" t="b">
        <f>IF(ISBLANK(GroupMember[[#This Row],[1. Identifiant interne d’exploitation agricole*]]),"",IF(ISERROR(MATCH(GroupMember[[#This Row],[1. Identifiant interne d’exploitation agricole*]],CertifiedCrop[1. Identifiant interne d’exploitation agricole*],0)),FALSE,TRUE))</f>
        <v>1</v>
      </c>
      <c r="AE116" s="177" t="b">
        <f>IF(ISBLANK(GroupMember[[#This Row],[1. Identifiant interne d’exploitation agricole*]]),"",IF(ISERROR(MATCH(GroupMember[[#This Row],[1. Identifiant interne d’exploitation agricole*]],FarmUnit[1. Identifiant interne d’exploitation agricole*],0)),FALSE,TRUE))</f>
        <v>1</v>
      </c>
      <c r="AF116" s="178" t="str">
        <f t="shared" si="8"/>
        <v>OUEDRAOGO ISSAKA RAPOUGOULI</v>
      </c>
      <c r="AG116" s="179" t="str">
        <f t="shared" si="9"/>
        <v>5/8/2021</v>
      </c>
      <c r="AH116" s="180">
        <f t="shared" si="7"/>
        <v>4</v>
      </c>
      <c r="AI116" s="181">
        <f t="shared" si="10"/>
        <v>0.16666666666666666</v>
      </c>
    </row>
    <row r="117" spans="1:35" ht="15">
      <c r="A117" s="170" t="s">
        <v>1109</v>
      </c>
      <c r="B117" s="171" t="s">
        <v>1109</v>
      </c>
      <c r="C117" s="171" t="s">
        <v>1109</v>
      </c>
      <c r="D117" s="171" t="s">
        <v>667</v>
      </c>
      <c r="E117" s="171" t="s">
        <v>668</v>
      </c>
      <c r="F117" s="171" t="s">
        <v>669</v>
      </c>
      <c r="G117" s="171" t="s">
        <v>670</v>
      </c>
      <c r="H117" s="195">
        <v>3.1053000000000002</v>
      </c>
      <c r="I117" s="171" t="s">
        <v>671</v>
      </c>
      <c r="J117" s="57">
        <v>1</v>
      </c>
      <c r="K117" s="172">
        <v>2021</v>
      </c>
      <c r="L117" s="173" t="s">
        <v>1110</v>
      </c>
      <c r="M117" s="173" t="s">
        <v>1111</v>
      </c>
      <c r="N117" s="174" t="s">
        <v>1112</v>
      </c>
      <c r="O117" s="171" t="s">
        <v>1113</v>
      </c>
      <c r="P117" s="171" t="s">
        <v>675</v>
      </c>
      <c r="Q117" s="209">
        <v>1994</v>
      </c>
      <c r="R117" s="171">
        <v>6</v>
      </c>
      <c r="S117" s="171"/>
      <c r="T117" s="173"/>
      <c r="U117" s="171"/>
      <c r="V117" s="171"/>
      <c r="W117" s="171"/>
      <c r="X117" s="57">
        <v>0</v>
      </c>
      <c r="Y117" s="172">
        <v>2</v>
      </c>
      <c r="Z117" s="175" t="s">
        <v>676</v>
      </c>
      <c r="AA117" s="176">
        <v>2021</v>
      </c>
      <c r="AB117" s="176">
        <v>7</v>
      </c>
      <c r="AC117" s="176">
        <v>22</v>
      </c>
      <c r="AD117" s="177" t="b">
        <f>IF(ISBLANK(GroupMember[[#This Row],[1. Identifiant interne d’exploitation agricole*]]),"",IF(ISERROR(MATCH(GroupMember[[#This Row],[1. Identifiant interne d’exploitation agricole*]],CertifiedCrop[1. Identifiant interne d’exploitation agricole*],0)),FALSE,TRUE))</f>
        <v>1</v>
      </c>
      <c r="AE117" s="177" t="b">
        <f>IF(ISBLANK(GroupMember[[#This Row],[1. Identifiant interne d’exploitation agricole*]]),"",IF(ISERROR(MATCH(GroupMember[[#This Row],[1. Identifiant interne d’exploitation agricole*]],FarmUnit[1. Identifiant interne d’exploitation agricole*],0)),FALSE,TRUE))</f>
        <v>1</v>
      </c>
      <c r="AF117" s="178" t="str">
        <f t="shared" si="8"/>
        <v>ROUAMBA  ANTOINE</v>
      </c>
      <c r="AG117" s="179" t="str">
        <f t="shared" si="9"/>
        <v>22/7/2021</v>
      </c>
      <c r="AH117" s="180">
        <f t="shared" si="7"/>
        <v>6</v>
      </c>
      <c r="AI117" s="181">
        <f t="shared" si="10"/>
        <v>0.16666666666666666</v>
      </c>
    </row>
    <row r="118" spans="1:35" ht="15">
      <c r="A118" s="170" t="s">
        <v>1114</v>
      </c>
      <c r="B118" s="171" t="s">
        <v>1114</v>
      </c>
      <c r="C118" s="171" t="s">
        <v>1114</v>
      </c>
      <c r="D118" s="171" t="s">
        <v>667</v>
      </c>
      <c r="E118" s="171" t="s">
        <v>668</v>
      </c>
      <c r="F118" s="171" t="s">
        <v>669</v>
      </c>
      <c r="G118" s="171" t="s">
        <v>670</v>
      </c>
      <c r="H118" s="195">
        <v>2.6170999999999998</v>
      </c>
      <c r="I118" s="171" t="s">
        <v>671</v>
      </c>
      <c r="J118" s="57">
        <v>1</v>
      </c>
      <c r="K118" s="172">
        <v>2021</v>
      </c>
      <c r="L118" s="173" t="s">
        <v>898</v>
      </c>
      <c r="M118" s="173" t="s">
        <v>1115</v>
      </c>
      <c r="N118" s="174" t="s">
        <v>884</v>
      </c>
      <c r="O118" s="57" t="s">
        <v>1844</v>
      </c>
      <c r="P118" s="171" t="s">
        <v>675</v>
      </c>
      <c r="Q118" s="209">
        <v>1979</v>
      </c>
      <c r="R118" s="171">
        <v>7</v>
      </c>
      <c r="S118" s="171"/>
      <c r="T118" s="173"/>
      <c r="U118" s="171"/>
      <c r="V118" s="171"/>
      <c r="W118" s="171"/>
      <c r="X118" s="57">
        <v>0</v>
      </c>
      <c r="Y118" s="172">
        <v>2</v>
      </c>
      <c r="Z118" s="175" t="s">
        <v>676</v>
      </c>
      <c r="AA118" s="176">
        <v>2021</v>
      </c>
      <c r="AB118" s="176">
        <v>7</v>
      </c>
      <c r="AC118" s="176">
        <v>7</v>
      </c>
      <c r="AD118" s="177" t="b">
        <f>IF(ISBLANK(GroupMember[[#This Row],[1. Identifiant interne d’exploitation agricole*]]),"",IF(ISERROR(MATCH(GroupMember[[#This Row],[1. Identifiant interne d’exploitation agricole*]],CertifiedCrop[1. Identifiant interne d’exploitation agricole*],0)),FALSE,TRUE))</f>
        <v>1</v>
      </c>
      <c r="AE118" s="177" t="b">
        <f>IF(ISBLANK(GroupMember[[#This Row],[1. Identifiant interne d’exploitation agricole*]]),"",IF(ISERROR(MATCH(GroupMember[[#This Row],[1. Identifiant interne d’exploitation agricole*]],FarmUnit[1. Identifiant interne d’exploitation agricole*],0)),FALSE,TRUE))</f>
        <v>1</v>
      </c>
      <c r="AF118" s="178" t="str">
        <f t="shared" si="8"/>
        <v>PAGBELGUEM NONGAWAN</v>
      </c>
      <c r="AG118" s="179" t="str">
        <f t="shared" si="9"/>
        <v>7/7/2021</v>
      </c>
      <c r="AH118" s="180">
        <f t="shared" si="7"/>
        <v>6</v>
      </c>
      <c r="AI118" s="181">
        <f t="shared" si="10"/>
        <v>0.16666666666666666</v>
      </c>
    </row>
    <row r="119" spans="1:35" ht="15">
      <c r="A119" s="170" t="s">
        <v>1116</v>
      </c>
      <c r="B119" s="171" t="s">
        <v>1116</v>
      </c>
      <c r="C119" s="171" t="s">
        <v>1116</v>
      </c>
      <c r="D119" s="171" t="s">
        <v>667</v>
      </c>
      <c r="E119" s="171" t="s">
        <v>668</v>
      </c>
      <c r="F119" s="171" t="s">
        <v>669</v>
      </c>
      <c r="G119" s="171" t="s">
        <v>670</v>
      </c>
      <c r="H119" s="195">
        <v>2.4787999999999997</v>
      </c>
      <c r="I119" s="171" t="s">
        <v>671</v>
      </c>
      <c r="J119" s="57">
        <v>1</v>
      </c>
      <c r="K119" s="172">
        <v>2021</v>
      </c>
      <c r="L119" s="173" t="s">
        <v>898</v>
      </c>
      <c r="M119" s="173" t="s">
        <v>1117</v>
      </c>
      <c r="N119" s="174" t="s">
        <v>1118</v>
      </c>
      <c r="O119" s="171" t="s">
        <v>1119</v>
      </c>
      <c r="P119" s="171" t="s">
        <v>675</v>
      </c>
      <c r="Q119" s="209">
        <v>1988</v>
      </c>
      <c r="R119" s="171">
        <v>4</v>
      </c>
      <c r="S119" s="171"/>
      <c r="T119" s="173"/>
      <c r="U119" s="171"/>
      <c r="V119" s="171"/>
      <c r="W119" s="171"/>
      <c r="X119" s="57">
        <v>0</v>
      </c>
      <c r="Y119" s="172">
        <v>2</v>
      </c>
      <c r="Z119" s="175" t="s">
        <v>676</v>
      </c>
      <c r="AA119" s="176">
        <v>2021</v>
      </c>
      <c r="AB119" s="176">
        <v>8</v>
      </c>
      <c r="AC119" s="176">
        <v>6</v>
      </c>
      <c r="AD119" s="177" t="b">
        <f>IF(ISBLANK(GroupMember[[#This Row],[1. Identifiant interne d’exploitation agricole*]]),"",IF(ISERROR(MATCH(GroupMember[[#This Row],[1. Identifiant interne d’exploitation agricole*]],CertifiedCrop[1. Identifiant interne d’exploitation agricole*],0)),FALSE,TRUE))</f>
        <v>1</v>
      </c>
      <c r="AE119" s="177" t="b">
        <f>IF(ISBLANK(GroupMember[[#This Row],[1. Identifiant interne d’exploitation agricole*]]),"",IF(ISERROR(MATCH(GroupMember[[#This Row],[1. Identifiant interne d’exploitation agricole*]],FarmUnit[1. Identifiant interne d’exploitation agricole*],0)),FALSE,TRUE))</f>
        <v>1</v>
      </c>
      <c r="AF119" s="178" t="str">
        <f t="shared" si="8"/>
        <v>PAGBELGUEM GASTON</v>
      </c>
      <c r="AG119" s="179" t="str">
        <f t="shared" si="9"/>
        <v>6/8/2021</v>
      </c>
      <c r="AH119" s="180">
        <f t="shared" si="7"/>
        <v>5</v>
      </c>
      <c r="AI119" s="181">
        <f t="shared" si="10"/>
        <v>0.16666666666666666</v>
      </c>
    </row>
    <row r="120" spans="1:35" ht="15">
      <c r="A120" s="170" t="s">
        <v>1120</v>
      </c>
      <c r="B120" s="171" t="s">
        <v>1120</v>
      </c>
      <c r="C120" s="171" t="s">
        <v>1120</v>
      </c>
      <c r="D120" s="171" t="s">
        <v>667</v>
      </c>
      <c r="E120" s="171" t="s">
        <v>668</v>
      </c>
      <c r="F120" s="171" t="s">
        <v>669</v>
      </c>
      <c r="G120" s="171" t="s">
        <v>670</v>
      </c>
      <c r="H120" s="195">
        <v>3.7534999999999998</v>
      </c>
      <c r="I120" s="171" t="s">
        <v>671</v>
      </c>
      <c r="J120" s="57">
        <v>1</v>
      </c>
      <c r="K120" s="172">
        <v>2021</v>
      </c>
      <c r="L120" s="173" t="s">
        <v>678</v>
      </c>
      <c r="M120" s="173" t="s">
        <v>977</v>
      </c>
      <c r="N120" s="174" t="s">
        <v>1121</v>
      </c>
      <c r="O120" s="171" t="s">
        <v>1122</v>
      </c>
      <c r="P120" s="171" t="s">
        <v>675</v>
      </c>
      <c r="Q120" s="209">
        <v>1984</v>
      </c>
      <c r="R120" s="171">
        <v>4</v>
      </c>
      <c r="S120" s="171"/>
      <c r="T120" s="173"/>
      <c r="U120" s="171"/>
      <c r="V120" s="171"/>
      <c r="W120" s="171"/>
      <c r="X120" s="57">
        <v>0</v>
      </c>
      <c r="Y120" s="172">
        <v>2</v>
      </c>
      <c r="Z120" s="175" t="s">
        <v>676</v>
      </c>
      <c r="AA120" s="176">
        <v>2021</v>
      </c>
      <c r="AB120" s="176">
        <v>8</v>
      </c>
      <c r="AC120" s="176">
        <v>2</v>
      </c>
      <c r="AD120" s="177" t="b">
        <f>IF(ISBLANK(GroupMember[[#This Row],[1. Identifiant interne d’exploitation agricole*]]),"",IF(ISERROR(MATCH(GroupMember[[#This Row],[1. Identifiant interne d’exploitation agricole*]],CertifiedCrop[1. Identifiant interne d’exploitation agricole*],0)),FALSE,TRUE))</f>
        <v>1</v>
      </c>
      <c r="AE120" s="177" t="b">
        <f>IF(ISBLANK(GroupMember[[#This Row],[1. Identifiant interne d’exploitation agricole*]]),"",IF(ISERROR(MATCH(GroupMember[[#This Row],[1. Identifiant interne d’exploitation agricole*]],FarmUnit[1. Identifiant interne d’exploitation agricole*],0)),FALSE,TRUE))</f>
        <v>1</v>
      </c>
      <c r="AF120" s="178" t="str">
        <f t="shared" si="8"/>
        <v>OUEDRAOGO SOUMAILA</v>
      </c>
      <c r="AG120" s="179" t="str">
        <f t="shared" si="9"/>
        <v>2/8/2021</v>
      </c>
      <c r="AH120" s="180">
        <f t="shared" si="7"/>
        <v>5</v>
      </c>
      <c r="AI120" s="181">
        <f t="shared" si="10"/>
        <v>0.16666666666666666</v>
      </c>
    </row>
    <row r="121" spans="1:35" ht="15">
      <c r="A121" s="170" t="s">
        <v>1123</v>
      </c>
      <c r="B121" s="171" t="s">
        <v>1123</v>
      </c>
      <c r="C121" s="171" t="s">
        <v>1123</v>
      </c>
      <c r="D121" s="171" t="s">
        <v>667</v>
      </c>
      <c r="E121" s="171" t="s">
        <v>668</v>
      </c>
      <c r="F121" s="171" t="s">
        <v>669</v>
      </c>
      <c r="G121" s="171" t="s">
        <v>670</v>
      </c>
      <c r="H121" s="195">
        <v>5.4279000000000002</v>
      </c>
      <c r="I121" s="171" t="s">
        <v>671</v>
      </c>
      <c r="J121" s="57">
        <v>1</v>
      </c>
      <c r="K121" s="172">
        <v>2021</v>
      </c>
      <c r="L121" s="173" t="s">
        <v>1124</v>
      </c>
      <c r="M121" s="173" t="s">
        <v>887</v>
      </c>
      <c r="N121" s="174" t="s">
        <v>1125</v>
      </c>
      <c r="O121" s="171" t="s">
        <v>1126</v>
      </c>
      <c r="P121" s="171" t="s">
        <v>675</v>
      </c>
      <c r="Q121" s="209">
        <v>1971</v>
      </c>
      <c r="R121" s="171">
        <v>7</v>
      </c>
      <c r="S121" s="171"/>
      <c r="T121" s="173"/>
      <c r="U121" s="171"/>
      <c r="V121" s="171"/>
      <c r="W121" s="171"/>
      <c r="X121" s="57">
        <v>0</v>
      </c>
      <c r="Y121" s="172">
        <v>2</v>
      </c>
      <c r="Z121" s="175" t="s">
        <v>676</v>
      </c>
      <c r="AA121" s="176">
        <v>2021</v>
      </c>
      <c r="AB121" s="176">
        <v>7</v>
      </c>
      <c r="AC121" s="176">
        <v>13</v>
      </c>
      <c r="AD121" s="177" t="b">
        <f>IF(ISBLANK(GroupMember[[#This Row],[1. Identifiant interne d’exploitation agricole*]]),"",IF(ISERROR(MATCH(GroupMember[[#This Row],[1. Identifiant interne d’exploitation agricole*]],CertifiedCrop[1. Identifiant interne d’exploitation agricole*],0)),FALSE,TRUE))</f>
        <v>1</v>
      </c>
      <c r="AE121" s="177" t="b">
        <f>IF(ISBLANK(GroupMember[[#This Row],[1. Identifiant interne d’exploitation agricole*]]),"",IF(ISERROR(MATCH(GroupMember[[#This Row],[1. Identifiant interne d’exploitation agricole*]],FarmUnit[1. Identifiant interne d’exploitation agricole*],0)),FALSE,TRUE))</f>
        <v>1</v>
      </c>
      <c r="AF121" s="178" t="str">
        <f t="shared" si="8"/>
        <v>BADOLO  NOUFOU</v>
      </c>
      <c r="AG121" s="179" t="str">
        <f t="shared" si="9"/>
        <v>13/7/2021</v>
      </c>
      <c r="AH121" s="180">
        <f t="shared" si="7"/>
        <v>6</v>
      </c>
      <c r="AI121" s="181">
        <f t="shared" si="10"/>
        <v>0.16666666666666666</v>
      </c>
    </row>
    <row r="122" spans="1:35" ht="15">
      <c r="A122" s="170" t="s">
        <v>1127</v>
      </c>
      <c r="B122" s="171" t="s">
        <v>1127</v>
      </c>
      <c r="C122" s="171" t="s">
        <v>1127</v>
      </c>
      <c r="D122" s="171" t="s">
        <v>667</v>
      </c>
      <c r="E122" s="171" t="s">
        <v>668</v>
      </c>
      <c r="F122" s="171" t="s">
        <v>669</v>
      </c>
      <c r="G122" s="171" t="s">
        <v>670</v>
      </c>
      <c r="H122" s="195">
        <v>6.2076000000000002</v>
      </c>
      <c r="I122" s="171" t="s">
        <v>671</v>
      </c>
      <c r="J122" s="57">
        <v>1</v>
      </c>
      <c r="K122" s="172">
        <v>2021</v>
      </c>
      <c r="L122" s="173" t="s">
        <v>749</v>
      </c>
      <c r="M122" s="173" t="s">
        <v>1128</v>
      </c>
      <c r="N122" s="174" t="s">
        <v>1129</v>
      </c>
      <c r="O122" s="171" t="s">
        <v>1130</v>
      </c>
      <c r="P122" s="171" t="s">
        <v>675</v>
      </c>
      <c r="Q122" s="209">
        <v>1980</v>
      </c>
      <c r="R122" s="171">
        <v>8</v>
      </c>
      <c r="S122" s="171"/>
      <c r="T122" s="173"/>
      <c r="U122" s="171"/>
      <c r="V122" s="171"/>
      <c r="W122" s="171"/>
      <c r="X122" s="57">
        <v>0</v>
      </c>
      <c r="Y122" s="172">
        <v>2</v>
      </c>
      <c r="Z122" s="175" t="s">
        <v>676</v>
      </c>
      <c r="AA122" s="176">
        <v>2021</v>
      </c>
      <c r="AB122" s="176">
        <v>8</v>
      </c>
      <c r="AC122" s="176">
        <v>4</v>
      </c>
      <c r="AD122" s="177" t="b">
        <f>IF(ISBLANK(GroupMember[[#This Row],[1. Identifiant interne d’exploitation agricole*]]),"",IF(ISERROR(MATCH(GroupMember[[#This Row],[1. Identifiant interne d’exploitation agricole*]],CertifiedCrop[1. Identifiant interne d’exploitation agricole*],0)),FALSE,TRUE))</f>
        <v>1</v>
      </c>
      <c r="AE122" s="177" t="b">
        <f>IF(ISBLANK(GroupMember[[#This Row],[1. Identifiant interne d’exploitation agricole*]]),"",IF(ISERROR(MATCH(GroupMember[[#This Row],[1. Identifiant interne d’exploitation agricole*]],FarmUnit[1. Identifiant interne d’exploitation agricole*],0)),FALSE,TRUE))</f>
        <v>1</v>
      </c>
      <c r="AF122" s="178" t="str">
        <f t="shared" si="8"/>
        <v xml:space="preserve">SAWADOGO  YOBI </v>
      </c>
      <c r="AG122" s="179" t="str">
        <f t="shared" si="9"/>
        <v>4/8/2021</v>
      </c>
      <c r="AH122" s="180">
        <f t="shared" si="7"/>
        <v>6</v>
      </c>
      <c r="AI122" s="181">
        <f t="shared" si="10"/>
        <v>0.16666666666666666</v>
      </c>
    </row>
    <row r="123" spans="1:35" ht="15">
      <c r="A123" s="170" t="s">
        <v>1131</v>
      </c>
      <c r="B123" s="171" t="s">
        <v>1131</v>
      </c>
      <c r="C123" s="171" t="s">
        <v>1131</v>
      </c>
      <c r="D123" s="171" t="s">
        <v>667</v>
      </c>
      <c r="E123" s="171" t="s">
        <v>668</v>
      </c>
      <c r="F123" s="171" t="s">
        <v>669</v>
      </c>
      <c r="G123" s="171" t="s">
        <v>670</v>
      </c>
      <c r="H123" s="195">
        <v>2.6747000000000001</v>
      </c>
      <c r="I123" s="171" t="s">
        <v>671</v>
      </c>
      <c r="J123" s="57">
        <v>1</v>
      </c>
      <c r="K123" s="172">
        <v>2021</v>
      </c>
      <c r="L123" s="173" t="s">
        <v>1132</v>
      </c>
      <c r="M123" s="173" t="s">
        <v>1133</v>
      </c>
      <c r="N123" s="174" t="s">
        <v>1134</v>
      </c>
      <c r="O123" s="171" t="s">
        <v>1135</v>
      </c>
      <c r="P123" s="171" t="s">
        <v>675</v>
      </c>
      <c r="Q123" s="209">
        <v>1993</v>
      </c>
      <c r="R123" s="171">
        <v>1</v>
      </c>
      <c r="S123" s="171"/>
      <c r="T123" s="173"/>
      <c r="U123" s="171"/>
      <c r="V123" s="171"/>
      <c r="W123" s="171"/>
      <c r="X123" s="57">
        <v>0</v>
      </c>
      <c r="Y123" s="172">
        <v>2</v>
      </c>
      <c r="Z123" s="175" t="s">
        <v>676</v>
      </c>
      <c r="AA123" s="176">
        <v>2021</v>
      </c>
      <c r="AB123" s="176">
        <v>7</v>
      </c>
      <c r="AC123" s="176">
        <v>21</v>
      </c>
      <c r="AD123" s="177" t="b">
        <f>IF(ISBLANK(GroupMember[[#This Row],[1. Identifiant interne d’exploitation agricole*]]),"",IF(ISERROR(MATCH(GroupMember[[#This Row],[1. Identifiant interne d’exploitation agricole*]],CertifiedCrop[1. Identifiant interne d’exploitation agricole*],0)),FALSE,TRUE))</f>
        <v>1</v>
      </c>
      <c r="AE123" s="177" t="b">
        <f>IF(ISBLANK(GroupMember[[#This Row],[1. Identifiant interne d’exploitation agricole*]]),"",IF(ISERROR(MATCH(GroupMember[[#This Row],[1. Identifiant interne d’exploitation agricole*]],FarmUnit[1. Identifiant interne d’exploitation agricole*],0)),FALSE,TRUE))</f>
        <v>1</v>
      </c>
      <c r="AF123" s="178" t="str">
        <f t="shared" si="8"/>
        <v>BAZIE PAUL</v>
      </c>
      <c r="AG123" s="179" t="str">
        <f t="shared" si="9"/>
        <v>21/7/2021</v>
      </c>
      <c r="AH123" s="180">
        <f t="shared" si="7"/>
        <v>6</v>
      </c>
      <c r="AI123" s="181">
        <f t="shared" si="10"/>
        <v>0.16666666666666666</v>
      </c>
    </row>
    <row r="124" spans="1:35" ht="15">
      <c r="A124" s="170" t="s">
        <v>1136</v>
      </c>
      <c r="B124" s="171" t="s">
        <v>1136</v>
      </c>
      <c r="C124" s="171" t="s">
        <v>1136</v>
      </c>
      <c r="D124" s="171" t="s">
        <v>667</v>
      </c>
      <c r="E124" s="171" t="s">
        <v>668</v>
      </c>
      <c r="F124" s="171" t="s">
        <v>669</v>
      </c>
      <c r="G124" s="171" t="s">
        <v>670</v>
      </c>
      <c r="H124" s="195">
        <v>2.3675999999999999</v>
      </c>
      <c r="I124" s="171" t="s">
        <v>671</v>
      </c>
      <c r="J124" s="57">
        <v>1</v>
      </c>
      <c r="K124" s="172">
        <v>2021</v>
      </c>
      <c r="L124" s="173" t="s">
        <v>678</v>
      </c>
      <c r="M124" s="173" t="s">
        <v>1137</v>
      </c>
      <c r="N124" s="174" t="s">
        <v>1138</v>
      </c>
      <c r="O124" s="171" t="s">
        <v>1139</v>
      </c>
      <c r="P124" s="171" t="s">
        <v>675</v>
      </c>
      <c r="Q124" s="209">
        <v>1992</v>
      </c>
      <c r="R124" s="171">
        <v>1</v>
      </c>
      <c r="S124" s="171"/>
      <c r="T124" s="173"/>
      <c r="U124" s="171"/>
      <c r="V124" s="171"/>
      <c r="W124" s="171"/>
      <c r="X124" s="57">
        <v>0</v>
      </c>
      <c r="Y124" s="172">
        <v>2</v>
      </c>
      <c r="Z124" s="175" t="s">
        <v>676</v>
      </c>
      <c r="AA124" s="176">
        <v>2021</v>
      </c>
      <c r="AB124" s="176">
        <v>8</v>
      </c>
      <c r="AC124" s="176">
        <v>6</v>
      </c>
      <c r="AD124" s="177" t="b">
        <f>IF(ISBLANK(GroupMember[[#This Row],[1. Identifiant interne d’exploitation agricole*]]),"",IF(ISERROR(MATCH(GroupMember[[#This Row],[1. Identifiant interne d’exploitation agricole*]],CertifiedCrop[1. Identifiant interne d’exploitation agricole*],0)),FALSE,TRUE))</f>
        <v>1</v>
      </c>
      <c r="AE124" s="177" t="b">
        <f>IF(ISBLANK(GroupMember[[#This Row],[1. Identifiant interne d’exploitation agricole*]]),"",IF(ISERROR(MATCH(GroupMember[[#This Row],[1. Identifiant interne d’exploitation agricole*]],FarmUnit[1. Identifiant interne d’exploitation agricole*],0)),FALSE,TRUE))</f>
        <v>1</v>
      </c>
      <c r="AF124" s="178" t="str">
        <f t="shared" si="8"/>
        <v>OUEDRAOGO YACOUBA</v>
      </c>
      <c r="AG124" s="179" t="str">
        <f t="shared" si="9"/>
        <v>6/8/2021</v>
      </c>
      <c r="AH124" s="180">
        <f t="shared" si="7"/>
        <v>5</v>
      </c>
      <c r="AI124" s="181">
        <f t="shared" si="10"/>
        <v>0.16666666666666666</v>
      </c>
    </row>
    <row r="125" spans="1:35" ht="15">
      <c r="A125" s="170" t="s">
        <v>1140</v>
      </c>
      <c r="B125" s="171" t="s">
        <v>1140</v>
      </c>
      <c r="C125" s="171" t="s">
        <v>1140</v>
      </c>
      <c r="D125" s="171" t="s">
        <v>667</v>
      </c>
      <c r="E125" s="171" t="s">
        <v>668</v>
      </c>
      <c r="F125" s="171" t="s">
        <v>669</v>
      </c>
      <c r="G125" s="171" t="s">
        <v>670</v>
      </c>
      <c r="H125" s="195">
        <v>2.9374000000000002</v>
      </c>
      <c r="I125" s="171" t="s">
        <v>671</v>
      </c>
      <c r="J125" s="57">
        <v>1</v>
      </c>
      <c r="K125" s="172">
        <v>2021</v>
      </c>
      <c r="L125" s="173" t="s">
        <v>773</v>
      </c>
      <c r="M125" s="173" t="s">
        <v>1141</v>
      </c>
      <c r="N125" s="174" t="s">
        <v>1142</v>
      </c>
      <c r="O125" s="171" t="s">
        <v>2503</v>
      </c>
      <c r="P125" s="171" t="s">
        <v>675</v>
      </c>
      <c r="Q125" s="209">
        <v>1984</v>
      </c>
      <c r="R125" s="171">
        <v>7</v>
      </c>
      <c r="S125" s="171"/>
      <c r="T125" s="173"/>
      <c r="U125" s="171"/>
      <c r="V125" s="171"/>
      <c r="W125" s="171"/>
      <c r="X125" s="57">
        <v>0</v>
      </c>
      <c r="Y125" s="172">
        <v>2</v>
      </c>
      <c r="Z125" s="175" t="s">
        <v>676</v>
      </c>
      <c r="AA125" s="176">
        <v>2021</v>
      </c>
      <c r="AB125" s="176">
        <v>7</v>
      </c>
      <c r="AC125" s="176">
        <v>9</v>
      </c>
      <c r="AD125" s="177" t="b">
        <f>IF(ISBLANK(GroupMember[[#This Row],[1. Identifiant interne d’exploitation agricole*]]),"",IF(ISERROR(MATCH(GroupMember[[#This Row],[1. Identifiant interne d’exploitation agricole*]],CertifiedCrop[1. Identifiant interne d’exploitation agricole*],0)),FALSE,TRUE))</f>
        <v>1</v>
      </c>
      <c r="AE125" s="177" t="b">
        <f>IF(ISBLANK(GroupMember[[#This Row],[1. Identifiant interne d’exploitation agricole*]]),"",IF(ISERROR(MATCH(GroupMember[[#This Row],[1. Identifiant interne d’exploitation agricole*]],FarmUnit[1. Identifiant interne d’exploitation agricole*],0)),FALSE,TRUE))</f>
        <v>1</v>
      </c>
      <c r="AF125" s="178" t="str">
        <f t="shared" si="8"/>
        <v>ZONGO PAPIAN</v>
      </c>
      <c r="AG125" s="179" t="str">
        <f t="shared" si="9"/>
        <v>9/7/2021</v>
      </c>
      <c r="AH125" s="180">
        <f t="shared" si="7"/>
        <v>5</v>
      </c>
      <c r="AI125" s="181">
        <f t="shared" si="10"/>
        <v>0.16666666666666666</v>
      </c>
    </row>
    <row r="126" spans="1:35" ht="15">
      <c r="A126" s="170" t="s">
        <v>1143</v>
      </c>
      <c r="B126" s="171" t="s">
        <v>1143</v>
      </c>
      <c r="C126" s="171" t="s">
        <v>1143</v>
      </c>
      <c r="D126" s="171" t="s">
        <v>667</v>
      </c>
      <c r="E126" s="171" t="s">
        <v>668</v>
      </c>
      <c r="F126" s="171" t="s">
        <v>669</v>
      </c>
      <c r="G126" s="171" t="s">
        <v>670</v>
      </c>
      <c r="H126" s="195">
        <v>7.4448999999999996</v>
      </c>
      <c r="I126" s="171" t="s">
        <v>671</v>
      </c>
      <c r="J126" s="57">
        <v>1</v>
      </c>
      <c r="K126" s="172">
        <v>2021</v>
      </c>
      <c r="L126" s="173" t="s">
        <v>1144</v>
      </c>
      <c r="M126" s="173" t="s">
        <v>1145</v>
      </c>
      <c r="N126" s="174" t="s">
        <v>1146</v>
      </c>
      <c r="O126" s="171" t="s">
        <v>1147</v>
      </c>
      <c r="P126" s="171" t="s">
        <v>675</v>
      </c>
      <c r="Q126" s="209">
        <v>1992</v>
      </c>
      <c r="R126" s="171">
        <v>3</v>
      </c>
      <c r="S126" s="171"/>
      <c r="T126" s="173"/>
      <c r="U126" s="171"/>
      <c r="V126" s="171"/>
      <c r="W126" s="171"/>
      <c r="X126" s="57">
        <v>4</v>
      </c>
      <c r="Y126" s="172">
        <v>6</v>
      </c>
      <c r="Z126" s="175" t="s">
        <v>676</v>
      </c>
      <c r="AA126" s="176">
        <v>2021</v>
      </c>
      <c r="AB126" s="176">
        <v>8</v>
      </c>
      <c r="AC126" s="176">
        <v>3</v>
      </c>
      <c r="AD126" s="177" t="b">
        <f>IF(ISBLANK(GroupMember[[#This Row],[1. Identifiant interne d’exploitation agricole*]]),"",IF(ISERROR(MATCH(GroupMember[[#This Row],[1. Identifiant interne d’exploitation agricole*]],CertifiedCrop[1. Identifiant interne d’exploitation agricole*],0)),FALSE,TRUE))</f>
        <v>1</v>
      </c>
      <c r="AE126" s="177" t="b">
        <f>IF(ISBLANK(GroupMember[[#This Row],[1. Identifiant interne d’exploitation agricole*]]),"",IF(ISERROR(MATCH(GroupMember[[#This Row],[1. Identifiant interne d’exploitation agricole*]],FarmUnit[1. Identifiant interne d’exploitation agricole*],0)),FALSE,TRUE))</f>
        <v>1</v>
      </c>
      <c r="AF126" s="178" t="str">
        <f t="shared" si="8"/>
        <v>PAGELGUEM KARIM</v>
      </c>
      <c r="AG126" s="179" t="str">
        <f t="shared" si="9"/>
        <v>3/8/2021</v>
      </c>
      <c r="AH126" s="180">
        <f t="shared" si="7"/>
        <v>6</v>
      </c>
      <c r="AI126" s="181">
        <f t="shared" si="10"/>
        <v>4.5</v>
      </c>
    </row>
    <row r="127" spans="1:35" ht="15">
      <c r="A127" s="170" t="s">
        <v>1148</v>
      </c>
      <c r="B127" s="171" t="s">
        <v>1148</v>
      </c>
      <c r="C127" s="171" t="s">
        <v>1148</v>
      </c>
      <c r="D127" s="171" t="s">
        <v>667</v>
      </c>
      <c r="E127" s="171" t="s">
        <v>668</v>
      </c>
      <c r="F127" s="171" t="s">
        <v>669</v>
      </c>
      <c r="G127" s="171" t="s">
        <v>670</v>
      </c>
      <c r="H127" s="195">
        <v>3.7589999999999999</v>
      </c>
      <c r="I127" s="171" t="s">
        <v>671</v>
      </c>
      <c r="J127" s="57">
        <v>1</v>
      </c>
      <c r="K127" s="172">
        <v>2021</v>
      </c>
      <c r="L127" s="173" t="s">
        <v>706</v>
      </c>
      <c r="M127" s="173" t="s">
        <v>1149</v>
      </c>
      <c r="N127" s="174" t="s">
        <v>1150</v>
      </c>
      <c r="O127" s="171" t="s">
        <v>1151</v>
      </c>
      <c r="P127" s="171" t="s">
        <v>675</v>
      </c>
      <c r="Q127" s="209">
        <v>1971</v>
      </c>
      <c r="R127" s="171">
        <v>7</v>
      </c>
      <c r="S127" s="171"/>
      <c r="T127" s="173"/>
      <c r="U127" s="171"/>
      <c r="V127" s="171"/>
      <c r="W127" s="171"/>
      <c r="X127" s="57">
        <v>0</v>
      </c>
      <c r="Y127" s="172">
        <v>2</v>
      </c>
      <c r="Z127" s="175" t="s">
        <v>676</v>
      </c>
      <c r="AA127" s="176">
        <v>2021</v>
      </c>
      <c r="AB127" s="176">
        <v>7</v>
      </c>
      <c r="AC127" s="176">
        <v>22</v>
      </c>
      <c r="AD127" s="177" t="b">
        <f>IF(ISBLANK(GroupMember[[#This Row],[1. Identifiant interne d’exploitation agricole*]]),"",IF(ISERROR(MATCH(GroupMember[[#This Row],[1. Identifiant interne d’exploitation agricole*]],CertifiedCrop[1. Identifiant interne d’exploitation agricole*],0)),FALSE,TRUE))</f>
        <v>1</v>
      </c>
      <c r="AE127" s="177" t="b">
        <f>IF(ISBLANK(GroupMember[[#This Row],[1. Identifiant interne d’exploitation agricole*]]),"",IF(ISERROR(MATCH(GroupMember[[#This Row],[1. Identifiant interne d’exploitation agricole*]],FarmUnit[1. Identifiant interne d’exploitation agricole*],0)),FALSE,TRUE))</f>
        <v>1</v>
      </c>
      <c r="AF127" s="178" t="str">
        <f t="shared" si="8"/>
        <v>TOGBA  GBEI ALFRED</v>
      </c>
      <c r="AG127" s="179" t="str">
        <f t="shared" si="9"/>
        <v>22/7/2021</v>
      </c>
      <c r="AH127" s="180">
        <f t="shared" si="7"/>
        <v>6</v>
      </c>
      <c r="AI127" s="181">
        <f t="shared" si="10"/>
        <v>0.16666666666666666</v>
      </c>
    </row>
    <row r="128" spans="1:35" ht="15">
      <c r="A128" s="170" t="s">
        <v>1152</v>
      </c>
      <c r="B128" s="171" t="s">
        <v>1152</v>
      </c>
      <c r="C128" s="171" t="s">
        <v>1152</v>
      </c>
      <c r="D128" s="171" t="s">
        <v>667</v>
      </c>
      <c r="E128" s="171" t="s">
        <v>668</v>
      </c>
      <c r="F128" s="171" t="s">
        <v>669</v>
      </c>
      <c r="G128" s="171" t="s">
        <v>670</v>
      </c>
      <c r="H128" s="195">
        <v>1.9681999999999999</v>
      </c>
      <c r="I128" s="171" t="s">
        <v>671</v>
      </c>
      <c r="J128" s="57">
        <v>1</v>
      </c>
      <c r="K128" s="172">
        <v>2021</v>
      </c>
      <c r="L128" s="173" t="s">
        <v>706</v>
      </c>
      <c r="M128" s="173" t="s">
        <v>1153</v>
      </c>
      <c r="N128" s="174" t="s">
        <v>884</v>
      </c>
      <c r="O128" s="171" t="s">
        <v>1154</v>
      </c>
      <c r="P128" s="171" t="s">
        <v>675</v>
      </c>
      <c r="Q128" s="209">
        <v>1979</v>
      </c>
      <c r="R128" s="171">
        <v>5</v>
      </c>
      <c r="S128" s="171"/>
      <c r="T128" s="173"/>
      <c r="U128" s="171"/>
      <c r="V128" s="171"/>
      <c r="W128" s="171"/>
      <c r="X128" s="57">
        <v>0</v>
      </c>
      <c r="Y128" s="172">
        <v>2</v>
      </c>
      <c r="Z128" s="175" t="s">
        <v>676</v>
      </c>
      <c r="AA128" s="176">
        <v>2021</v>
      </c>
      <c r="AB128" s="176">
        <v>8</v>
      </c>
      <c r="AC128" s="176">
        <v>4</v>
      </c>
      <c r="AD128" s="177" t="b">
        <f>IF(ISBLANK(GroupMember[[#This Row],[1. Identifiant interne d’exploitation agricole*]]),"",IF(ISERROR(MATCH(GroupMember[[#This Row],[1. Identifiant interne d’exploitation agricole*]],CertifiedCrop[1. Identifiant interne d’exploitation agricole*],0)),FALSE,TRUE))</f>
        <v>1</v>
      </c>
      <c r="AE128" s="177" t="b">
        <f>IF(ISBLANK(GroupMember[[#This Row],[1. Identifiant interne d’exploitation agricole*]]),"",IF(ISERROR(MATCH(GroupMember[[#This Row],[1. Identifiant interne d’exploitation agricole*]],FarmUnit[1. Identifiant interne d’exploitation agricole*],0)),FALSE,TRUE))</f>
        <v>1</v>
      </c>
      <c r="AF128" s="178" t="str">
        <f t="shared" si="8"/>
        <v>TOGBA  PHILIPPE</v>
      </c>
      <c r="AG128" s="179" t="str">
        <f t="shared" si="9"/>
        <v>4/8/2021</v>
      </c>
      <c r="AH128" s="180">
        <f t="shared" si="7"/>
        <v>6</v>
      </c>
      <c r="AI128" s="181">
        <f t="shared" si="10"/>
        <v>0.16666666666666666</v>
      </c>
    </row>
    <row r="129" spans="1:35" ht="15">
      <c r="A129" s="170" t="s">
        <v>1155</v>
      </c>
      <c r="B129" s="171" t="s">
        <v>1155</v>
      </c>
      <c r="C129" s="171" t="s">
        <v>1155</v>
      </c>
      <c r="D129" s="171" t="s">
        <v>667</v>
      </c>
      <c r="E129" s="171" t="s">
        <v>668</v>
      </c>
      <c r="F129" s="171" t="s">
        <v>669</v>
      </c>
      <c r="G129" s="171" t="s">
        <v>670</v>
      </c>
      <c r="H129" s="195">
        <v>3.5897999999999999</v>
      </c>
      <c r="I129" s="171" t="s">
        <v>671</v>
      </c>
      <c r="J129" s="57">
        <v>1</v>
      </c>
      <c r="K129" s="172">
        <v>2021</v>
      </c>
      <c r="L129" s="173" t="s">
        <v>749</v>
      </c>
      <c r="M129" s="173" t="s">
        <v>1156</v>
      </c>
      <c r="N129" s="174" t="s">
        <v>1157</v>
      </c>
      <c r="O129" s="171" t="s">
        <v>1158</v>
      </c>
      <c r="P129" s="171" t="s">
        <v>675</v>
      </c>
      <c r="Q129" s="209">
        <v>1978</v>
      </c>
      <c r="R129" s="171">
        <v>6</v>
      </c>
      <c r="S129" s="171"/>
      <c r="T129" s="173"/>
      <c r="U129" s="171"/>
      <c r="V129" s="171"/>
      <c r="W129" s="171"/>
      <c r="X129" s="57">
        <v>0</v>
      </c>
      <c r="Y129" s="172">
        <v>2</v>
      </c>
      <c r="Z129" s="175" t="s">
        <v>676</v>
      </c>
      <c r="AA129" s="176">
        <v>2021</v>
      </c>
      <c r="AB129" s="176">
        <v>7</v>
      </c>
      <c r="AC129" s="176">
        <v>12</v>
      </c>
      <c r="AD129" s="177" t="b">
        <f>IF(ISBLANK(GroupMember[[#This Row],[1. Identifiant interne d’exploitation agricole*]]),"",IF(ISERROR(MATCH(GroupMember[[#This Row],[1. Identifiant interne d’exploitation agricole*]],CertifiedCrop[1. Identifiant interne d’exploitation agricole*],0)),FALSE,TRUE))</f>
        <v>1</v>
      </c>
      <c r="AE129" s="177" t="b">
        <f>IF(ISBLANK(GroupMember[[#This Row],[1. Identifiant interne d’exploitation agricole*]]),"",IF(ISERROR(MATCH(GroupMember[[#This Row],[1. Identifiant interne d’exploitation agricole*]],FarmUnit[1. Identifiant interne d’exploitation agricole*],0)),FALSE,TRUE))</f>
        <v>1</v>
      </c>
      <c r="AF129" s="178" t="str">
        <f t="shared" si="8"/>
        <v>SAWADOGO  WENDINMANEGBE</v>
      </c>
      <c r="AG129" s="179" t="str">
        <f t="shared" si="9"/>
        <v>12/7/2021</v>
      </c>
      <c r="AH129" s="180">
        <f t="shared" si="7"/>
        <v>5</v>
      </c>
      <c r="AI129" s="181">
        <f t="shared" si="10"/>
        <v>0.16666666666666666</v>
      </c>
    </row>
    <row r="130" spans="1:35" ht="15">
      <c r="A130" s="170" t="s">
        <v>1159</v>
      </c>
      <c r="B130" s="171" t="s">
        <v>1159</v>
      </c>
      <c r="C130" s="171" t="s">
        <v>1159</v>
      </c>
      <c r="D130" s="171" t="s">
        <v>667</v>
      </c>
      <c r="E130" s="171" t="s">
        <v>668</v>
      </c>
      <c r="F130" s="171" t="s">
        <v>669</v>
      </c>
      <c r="G130" s="171" t="s">
        <v>670</v>
      </c>
      <c r="H130" s="195">
        <v>2.9420999999999999</v>
      </c>
      <c r="I130" s="171" t="s">
        <v>671</v>
      </c>
      <c r="J130" s="57">
        <v>1</v>
      </c>
      <c r="K130" s="172">
        <v>2021</v>
      </c>
      <c r="L130" s="173" t="s">
        <v>890</v>
      </c>
      <c r="M130" s="173" t="s">
        <v>756</v>
      </c>
      <c r="N130" s="174" t="s">
        <v>1160</v>
      </c>
      <c r="O130" s="171" t="s">
        <v>2509</v>
      </c>
      <c r="P130" s="171" t="s">
        <v>675</v>
      </c>
      <c r="Q130" s="209">
        <v>1988</v>
      </c>
      <c r="R130" s="171">
        <v>4</v>
      </c>
      <c r="S130" s="171"/>
      <c r="T130" s="173"/>
      <c r="U130" s="171"/>
      <c r="V130" s="171"/>
      <c r="W130" s="171"/>
      <c r="X130" s="57">
        <v>0</v>
      </c>
      <c r="Y130" s="172">
        <v>2</v>
      </c>
      <c r="Z130" s="175" t="s">
        <v>676</v>
      </c>
      <c r="AA130" s="176">
        <v>2021</v>
      </c>
      <c r="AB130" s="176">
        <v>8</v>
      </c>
      <c r="AC130" s="176">
        <v>6</v>
      </c>
      <c r="AD130" s="177" t="b">
        <f>IF(ISBLANK(GroupMember[[#This Row],[1. Identifiant interne d’exploitation agricole*]]),"",IF(ISERROR(MATCH(GroupMember[[#This Row],[1. Identifiant interne d’exploitation agricole*]],CertifiedCrop[1. Identifiant interne d’exploitation agricole*],0)),FALSE,TRUE))</f>
        <v>1</v>
      </c>
      <c r="AE130" s="177" t="b">
        <f>IF(ISBLANK(GroupMember[[#This Row],[1. Identifiant interne d’exploitation agricole*]]),"",IF(ISERROR(MATCH(GroupMember[[#This Row],[1. Identifiant interne d’exploitation agricole*]],FarmUnit[1. Identifiant interne d’exploitation agricole*],0)),FALSE,TRUE))</f>
        <v>1</v>
      </c>
      <c r="AF130" s="178" t="str">
        <f t="shared" si="8"/>
        <v>PAGBELEM GILBERT</v>
      </c>
      <c r="AG130" s="179" t="str">
        <f t="shared" si="9"/>
        <v>6/8/2021</v>
      </c>
      <c r="AH130" s="180">
        <f t="shared" si="7"/>
        <v>5</v>
      </c>
      <c r="AI130" s="181">
        <f t="shared" si="10"/>
        <v>0.16666666666666666</v>
      </c>
    </row>
    <row r="131" spans="1:35" ht="15">
      <c r="A131" s="170" t="s">
        <v>1161</v>
      </c>
      <c r="B131" s="171" t="s">
        <v>1161</v>
      </c>
      <c r="C131" s="171" t="s">
        <v>1161</v>
      </c>
      <c r="D131" s="171" t="s">
        <v>667</v>
      </c>
      <c r="E131" s="171" t="s">
        <v>668</v>
      </c>
      <c r="F131" s="171" t="s">
        <v>669</v>
      </c>
      <c r="G131" s="171" t="s">
        <v>670</v>
      </c>
      <c r="H131" s="195">
        <v>2.7995000000000001</v>
      </c>
      <c r="I131" s="171" t="s">
        <v>671</v>
      </c>
      <c r="J131" s="57">
        <v>1</v>
      </c>
      <c r="K131" s="172">
        <v>2021</v>
      </c>
      <c r="L131" s="173" t="s">
        <v>678</v>
      </c>
      <c r="M131" s="173" t="s">
        <v>1162</v>
      </c>
      <c r="N131" s="174" t="s">
        <v>1163</v>
      </c>
      <c r="O131" s="171" t="s">
        <v>2508</v>
      </c>
      <c r="P131" s="171" t="s">
        <v>675</v>
      </c>
      <c r="Q131" s="209">
        <v>1993</v>
      </c>
      <c r="R131" s="171">
        <v>3</v>
      </c>
      <c r="S131" s="171"/>
      <c r="T131" s="173"/>
      <c r="U131" s="171"/>
      <c r="V131" s="171"/>
      <c r="W131" s="171"/>
      <c r="X131" s="57">
        <v>0</v>
      </c>
      <c r="Y131" s="172">
        <v>2</v>
      </c>
      <c r="Z131" s="175" t="s">
        <v>676</v>
      </c>
      <c r="AA131" s="176">
        <v>2021</v>
      </c>
      <c r="AB131" s="176">
        <v>7</v>
      </c>
      <c r="AC131" s="176">
        <v>29</v>
      </c>
      <c r="AD131" s="177" t="b">
        <f>IF(ISBLANK(GroupMember[[#This Row],[1. Identifiant interne d’exploitation agricole*]]),"",IF(ISERROR(MATCH(GroupMember[[#This Row],[1. Identifiant interne d’exploitation agricole*]],CertifiedCrop[1. Identifiant interne d’exploitation agricole*],0)),FALSE,TRUE))</f>
        <v>1</v>
      </c>
      <c r="AE131" s="177" t="b">
        <f>IF(ISBLANK(GroupMember[[#This Row],[1. Identifiant interne d’exploitation agricole*]]),"",IF(ISERROR(MATCH(GroupMember[[#This Row],[1. Identifiant interne d’exploitation agricole*]],FarmUnit[1. Identifiant interne d’exploitation agricole*],0)),FALSE,TRUE))</f>
        <v>1</v>
      </c>
      <c r="AF131" s="178" t="str">
        <f t="shared" si="8"/>
        <v>OUEDRAOGO OUSSENI</v>
      </c>
      <c r="AG131" s="179" t="str">
        <f t="shared" si="9"/>
        <v>29/7/2021</v>
      </c>
      <c r="AH131" s="180">
        <f t="shared" ref="AH131:AH194" si="11">COUNTIFS(Z:Z,Z131,AG:AG,AG131)</f>
        <v>5</v>
      </c>
      <c r="AI131" s="181">
        <f t="shared" si="10"/>
        <v>0.16666666666666666</v>
      </c>
    </row>
    <row r="132" spans="1:35" ht="15">
      <c r="A132" s="170" t="s">
        <v>1164</v>
      </c>
      <c r="B132" s="171" t="s">
        <v>1164</v>
      </c>
      <c r="C132" s="171" t="s">
        <v>1164</v>
      </c>
      <c r="D132" s="171" t="s">
        <v>667</v>
      </c>
      <c r="E132" s="171" t="s">
        <v>668</v>
      </c>
      <c r="F132" s="171" t="s">
        <v>669</v>
      </c>
      <c r="G132" s="171" t="s">
        <v>670</v>
      </c>
      <c r="H132" s="195">
        <v>2.0013000000000001</v>
      </c>
      <c r="I132" s="171" t="s">
        <v>671</v>
      </c>
      <c r="J132" s="57">
        <v>1</v>
      </c>
      <c r="K132" s="172">
        <v>2021</v>
      </c>
      <c r="L132" s="173" t="s">
        <v>1165</v>
      </c>
      <c r="M132" s="173" t="s">
        <v>1166</v>
      </c>
      <c r="N132" s="174" t="s">
        <v>1167</v>
      </c>
      <c r="O132" s="171" t="s">
        <v>2510</v>
      </c>
      <c r="P132" s="171" t="s">
        <v>675</v>
      </c>
      <c r="Q132" s="209">
        <v>1978</v>
      </c>
      <c r="R132" s="171">
        <v>7</v>
      </c>
      <c r="S132" s="171"/>
      <c r="T132" s="173"/>
      <c r="U132" s="171"/>
      <c r="V132" s="171"/>
      <c r="W132" s="171"/>
      <c r="X132" s="57">
        <v>0</v>
      </c>
      <c r="Y132" s="172">
        <v>2</v>
      </c>
      <c r="Z132" s="175" t="s">
        <v>676</v>
      </c>
      <c r="AA132" s="176">
        <v>2021</v>
      </c>
      <c r="AB132" s="176">
        <v>8</v>
      </c>
      <c r="AC132" s="176">
        <v>8</v>
      </c>
      <c r="AD132" s="177" t="b">
        <f>IF(ISBLANK(GroupMember[[#This Row],[1. Identifiant interne d’exploitation agricole*]]),"",IF(ISERROR(MATCH(GroupMember[[#This Row],[1. Identifiant interne d’exploitation agricole*]],CertifiedCrop[1. Identifiant interne d’exploitation agricole*],0)),FALSE,TRUE))</f>
        <v>1</v>
      </c>
      <c r="AE132" s="177" t="b">
        <f>IF(ISBLANK(GroupMember[[#This Row],[1. Identifiant interne d’exploitation agricole*]]),"",IF(ISERROR(MATCH(GroupMember[[#This Row],[1. Identifiant interne d’exploitation agricole*]],FarmUnit[1. Identifiant interne d’exploitation agricole*],0)),FALSE,TRUE))</f>
        <v>1</v>
      </c>
      <c r="AF132" s="178" t="str">
        <f t="shared" si="8"/>
        <v>SIDO  SEYDOU</v>
      </c>
      <c r="AG132" s="179" t="str">
        <f t="shared" si="9"/>
        <v>8/8/2021</v>
      </c>
      <c r="AH132" s="180">
        <f t="shared" si="11"/>
        <v>1</v>
      </c>
      <c r="AI132" s="181">
        <f t="shared" si="10"/>
        <v>0.16666666666666666</v>
      </c>
    </row>
    <row r="133" spans="1:35" ht="15">
      <c r="A133" s="170" t="s">
        <v>1168</v>
      </c>
      <c r="B133" s="171" t="s">
        <v>1168</v>
      </c>
      <c r="C133" s="171" t="s">
        <v>1168</v>
      </c>
      <c r="D133" s="171" t="s">
        <v>667</v>
      </c>
      <c r="E133" s="171" t="s">
        <v>668</v>
      </c>
      <c r="F133" s="171" t="s">
        <v>669</v>
      </c>
      <c r="G133" s="171" t="s">
        <v>670</v>
      </c>
      <c r="H133" s="195">
        <v>3.3774999999999999</v>
      </c>
      <c r="I133" s="171" t="s">
        <v>671</v>
      </c>
      <c r="J133" s="57">
        <v>1</v>
      </c>
      <c r="K133" s="172">
        <v>2021</v>
      </c>
      <c r="L133" s="173" t="s">
        <v>773</v>
      </c>
      <c r="M133" s="173" t="s">
        <v>1169</v>
      </c>
      <c r="N133" s="174" t="s">
        <v>1170</v>
      </c>
      <c r="O133" s="171" t="s">
        <v>1171</v>
      </c>
      <c r="P133" s="171" t="s">
        <v>675</v>
      </c>
      <c r="Q133" s="209">
        <v>1977</v>
      </c>
      <c r="R133" s="171">
        <v>7</v>
      </c>
      <c r="S133" s="171"/>
      <c r="T133" s="173"/>
      <c r="U133" s="171"/>
      <c r="V133" s="171"/>
      <c r="W133" s="171"/>
      <c r="X133" s="57">
        <v>0</v>
      </c>
      <c r="Y133" s="172">
        <v>2</v>
      </c>
      <c r="Z133" s="175" t="s">
        <v>676</v>
      </c>
      <c r="AA133" s="176">
        <v>2021</v>
      </c>
      <c r="AB133" s="176">
        <v>7</v>
      </c>
      <c r="AC133" s="176">
        <v>7</v>
      </c>
      <c r="AD133" s="177" t="b">
        <f>IF(ISBLANK(GroupMember[[#This Row],[1. Identifiant interne d’exploitation agricole*]]),"",IF(ISERROR(MATCH(GroupMember[[#This Row],[1. Identifiant interne d’exploitation agricole*]],CertifiedCrop[1. Identifiant interne d’exploitation agricole*],0)),FALSE,TRUE))</f>
        <v>1</v>
      </c>
      <c r="AE133" s="177" t="b">
        <f>IF(ISBLANK(GroupMember[[#This Row],[1. Identifiant interne d’exploitation agricole*]]),"",IF(ISERROR(MATCH(GroupMember[[#This Row],[1. Identifiant interne d’exploitation agricole*]],FarmUnit[1. Identifiant interne d’exploitation agricole*],0)),FALSE,TRUE))</f>
        <v>1</v>
      </c>
      <c r="AF133" s="178" t="str">
        <f t="shared" si="8"/>
        <v>ZONGO SIRIKI</v>
      </c>
      <c r="AG133" s="179" t="str">
        <f t="shared" si="9"/>
        <v>7/7/2021</v>
      </c>
      <c r="AH133" s="180">
        <f t="shared" si="11"/>
        <v>6</v>
      </c>
      <c r="AI133" s="181">
        <f t="shared" si="10"/>
        <v>0.16666666666666666</v>
      </c>
    </row>
    <row r="134" spans="1:35" ht="15">
      <c r="A134" s="170" t="s">
        <v>1172</v>
      </c>
      <c r="B134" s="171" t="s">
        <v>1172</v>
      </c>
      <c r="C134" s="171" t="s">
        <v>1172</v>
      </c>
      <c r="D134" s="171" t="s">
        <v>667</v>
      </c>
      <c r="E134" s="171" t="s">
        <v>668</v>
      </c>
      <c r="F134" s="171" t="s">
        <v>669</v>
      </c>
      <c r="G134" s="171" t="s">
        <v>670</v>
      </c>
      <c r="H134" s="195">
        <v>2.6841999999999997</v>
      </c>
      <c r="I134" s="171" t="s">
        <v>671</v>
      </c>
      <c r="J134" s="57">
        <v>1</v>
      </c>
      <c r="K134" s="172">
        <v>2021</v>
      </c>
      <c r="L134" s="173" t="s">
        <v>1173</v>
      </c>
      <c r="M134" s="173" t="s">
        <v>1174</v>
      </c>
      <c r="N134" s="174" t="s">
        <v>1175</v>
      </c>
      <c r="O134" s="171" t="s">
        <v>2511</v>
      </c>
      <c r="P134" s="171" t="s">
        <v>675</v>
      </c>
      <c r="Q134" s="209">
        <v>1993</v>
      </c>
      <c r="R134" s="171">
        <v>4</v>
      </c>
      <c r="S134" s="171"/>
      <c r="T134" s="173"/>
      <c r="U134" s="171"/>
      <c r="V134" s="171"/>
      <c r="W134" s="171"/>
      <c r="X134" s="57">
        <v>0</v>
      </c>
      <c r="Y134" s="172">
        <v>2</v>
      </c>
      <c r="Z134" s="175" t="s">
        <v>676</v>
      </c>
      <c r="AA134" s="176">
        <v>2021</v>
      </c>
      <c r="AB134" s="176">
        <v>8</v>
      </c>
      <c r="AC134" s="176">
        <v>3</v>
      </c>
      <c r="AD134" s="177" t="b">
        <f>IF(ISBLANK(GroupMember[[#This Row],[1. Identifiant interne d’exploitation agricole*]]),"",IF(ISERROR(MATCH(GroupMember[[#This Row],[1. Identifiant interne d’exploitation agricole*]],CertifiedCrop[1. Identifiant interne d’exploitation agricole*],0)),FALSE,TRUE))</f>
        <v>1</v>
      </c>
      <c r="AE134" s="177" t="b">
        <f>IF(ISBLANK(GroupMember[[#This Row],[1. Identifiant interne d’exploitation agricole*]]),"",IF(ISERROR(MATCH(GroupMember[[#This Row],[1. Identifiant interne d’exploitation agricole*]],FarmUnit[1. Identifiant interne d’exploitation agricole*],0)),FALSE,TRUE))</f>
        <v>1</v>
      </c>
      <c r="AF134" s="178" t="str">
        <f t="shared" si="8"/>
        <v>HASSANE SADIKOU</v>
      </c>
      <c r="AG134" s="179" t="str">
        <f t="shared" si="9"/>
        <v>3/8/2021</v>
      </c>
      <c r="AH134" s="180">
        <f t="shared" si="11"/>
        <v>6</v>
      </c>
      <c r="AI134" s="181">
        <f t="shared" si="10"/>
        <v>0.16666666666666666</v>
      </c>
    </row>
    <row r="135" spans="1:35" ht="15">
      <c r="A135" s="170" t="s">
        <v>1176</v>
      </c>
      <c r="B135" s="171" t="s">
        <v>1176</v>
      </c>
      <c r="C135" s="171" t="s">
        <v>1176</v>
      </c>
      <c r="D135" s="171" t="s">
        <v>667</v>
      </c>
      <c r="E135" s="171" t="s">
        <v>668</v>
      </c>
      <c r="F135" s="171" t="s">
        <v>669</v>
      </c>
      <c r="G135" s="171" t="s">
        <v>670</v>
      </c>
      <c r="H135" s="195">
        <v>6.2316000000000003</v>
      </c>
      <c r="I135" s="171" t="s">
        <v>671</v>
      </c>
      <c r="J135" s="57">
        <v>1</v>
      </c>
      <c r="K135" s="172">
        <v>2021</v>
      </c>
      <c r="L135" s="173" t="s">
        <v>1177</v>
      </c>
      <c r="M135" s="173" t="s">
        <v>1178</v>
      </c>
      <c r="N135" s="174" t="s">
        <v>1179</v>
      </c>
      <c r="O135" s="171" t="s">
        <v>1180</v>
      </c>
      <c r="P135" s="171" t="s">
        <v>675</v>
      </c>
      <c r="Q135" s="209">
        <v>1962</v>
      </c>
      <c r="R135" s="171">
        <v>9</v>
      </c>
      <c r="S135" s="171"/>
      <c r="T135" s="173"/>
      <c r="U135" s="171"/>
      <c r="V135" s="171"/>
      <c r="W135" s="171"/>
      <c r="X135" s="57">
        <v>0</v>
      </c>
      <c r="Y135" s="172">
        <v>2</v>
      </c>
      <c r="Z135" s="175" t="s">
        <v>676</v>
      </c>
      <c r="AA135" s="176">
        <v>2021</v>
      </c>
      <c r="AB135" s="176">
        <v>7</v>
      </c>
      <c r="AC135" s="176">
        <v>21</v>
      </c>
      <c r="AD135" s="177" t="b">
        <f>IF(ISBLANK(GroupMember[[#This Row],[1. Identifiant interne d’exploitation agricole*]]),"",IF(ISERROR(MATCH(GroupMember[[#This Row],[1. Identifiant interne d’exploitation agricole*]],CertifiedCrop[1. Identifiant interne d’exploitation agricole*],0)),FALSE,TRUE))</f>
        <v>1</v>
      </c>
      <c r="AE135" s="177" t="b">
        <f>IF(ISBLANK(GroupMember[[#This Row],[1. Identifiant interne d’exploitation agricole*]]),"",IF(ISERROR(MATCH(GroupMember[[#This Row],[1. Identifiant interne d’exploitation agricole*]],FarmUnit[1. Identifiant interne d’exploitation agricole*],0)),FALSE,TRUE))</f>
        <v>1</v>
      </c>
      <c r="AF135" s="178" t="str">
        <f t="shared" si="8"/>
        <v>PAGBALGUEM NOBILA</v>
      </c>
      <c r="AG135" s="179" t="str">
        <f t="shared" si="9"/>
        <v>21/7/2021</v>
      </c>
      <c r="AH135" s="180">
        <f t="shared" si="11"/>
        <v>6</v>
      </c>
      <c r="AI135" s="181">
        <f t="shared" si="10"/>
        <v>0.16666666666666666</v>
      </c>
    </row>
    <row r="136" spans="1:35" ht="15">
      <c r="A136" s="170" t="s">
        <v>1181</v>
      </c>
      <c r="B136" s="171" t="s">
        <v>1181</v>
      </c>
      <c r="C136" s="171" t="s">
        <v>1181</v>
      </c>
      <c r="D136" s="171" t="s">
        <v>667</v>
      </c>
      <c r="E136" s="171" t="s">
        <v>668</v>
      </c>
      <c r="F136" s="171" t="s">
        <v>669</v>
      </c>
      <c r="G136" s="171" t="s">
        <v>670</v>
      </c>
      <c r="H136" s="195">
        <v>2.032</v>
      </c>
      <c r="I136" s="171" t="s">
        <v>671</v>
      </c>
      <c r="J136" s="57">
        <v>1</v>
      </c>
      <c r="K136" s="172">
        <v>2021</v>
      </c>
      <c r="L136" s="173" t="s">
        <v>1182</v>
      </c>
      <c r="M136" s="173" t="s">
        <v>1183</v>
      </c>
      <c r="N136" s="174" t="s">
        <v>1184</v>
      </c>
      <c r="O136" s="171" t="s">
        <v>2512</v>
      </c>
      <c r="P136" s="171" t="s">
        <v>720</v>
      </c>
      <c r="Q136" s="209">
        <v>2000</v>
      </c>
      <c r="R136" s="171">
        <v>4</v>
      </c>
      <c r="S136" s="171"/>
      <c r="T136" s="173"/>
      <c r="U136" s="171"/>
      <c r="V136" s="171"/>
      <c r="W136" s="171"/>
      <c r="X136" s="57">
        <v>0</v>
      </c>
      <c r="Y136" s="172">
        <v>2</v>
      </c>
      <c r="Z136" s="175" t="s">
        <v>676</v>
      </c>
      <c r="AA136" s="176">
        <v>2021</v>
      </c>
      <c r="AB136" s="176">
        <v>7</v>
      </c>
      <c r="AC136" s="176">
        <v>12</v>
      </c>
      <c r="AD136" s="177" t="b">
        <f>IF(ISBLANK(GroupMember[[#This Row],[1. Identifiant interne d’exploitation agricole*]]),"",IF(ISERROR(MATCH(GroupMember[[#This Row],[1. Identifiant interne d’exploitation agricole*]],CertifiedCrop[1. Identifiant interne d’exploitation agricole*],0)),FALSE,TRUE))</f>
        <v>1</v>
      </c>
      <c r="AE136" s="177" t="b">
        <f>IF(ISBLANK(GroupMember[[#This Row],[1. Identifiant interne d’exploitation agricole*]]),"",IF(ISERROR(MATCH(GroupMember[[#This Row],[1. Identifiant interne d’exploitation agricole*]],FarmUnit[1. Identifiant interne d’exploitation agricole*],0)),FALSE,TRUE))</f>
        <v>1</v>
      </c>
      <c r="AF136" s="178" t="str">
        <f t="shared" si="8"/>
        <v>HAMA  FATOUMA</v>
      </c>
      <c r="AG136" s="179" t="str">
        <f t="shared" si="9"/>
        <v>12/7/2021</v>
      </c>
      <c r="AH136" s="180">
        <f t="shared" si="11"/>
        <v>5</v>
      </c>
      <c r="AI136" s="181">
        <f t="shared" si="10"/>
        <v>0.16666666666666666</v>
      </c>
    </row>
    <row r="137" spans="1:35" ht="15">
      <c r="A137" s="170" t="s">
        <v>1185</v>
      </c>
      <c r="B137" s="171" t="s">
        <v>1185</v>
      </c>
      <c r="C137" s="171" t="s">
        <v>1185</v>
      </c>
      <c r="D137" s="171" t="s">
        <v>667</v>
      </c>
      <c r="E137" s="171" t="s">
        <v>668</v>
      </c>
      <c r="F137" s="171" t="s">
        <v>669</v>
      </c>
      <c r="G137" s="171" t="s">
        <v>670</v>
      </c>
      <c r="H137" s="195">
        <v>2.8035000000000001</v>
      </c>
      <c r="I137" s="171" t="s">
        <v>671</v>
      </c>
      <c r="J137" s="57">
        <v>1</v>
      </c>
      <c r="K137" s="172">
        <v>2021</v>
      </c>
      <c r="L137" s="173" t="s">
        <v>890</v>
      </c>
      <c r="M137" s="173" t="s">
        <v>1186</v>
      </c>
      <c r="N137" s="174" t="s">
        <v>1187</v>
      </c>
      <c r="O137" s="171" t="s">
        <v>2513</v>
      </c>
      <c r="P137" s="171" t="s">
        <v>675</v>
      </c>
      <c r="Q137" s="209">
        <v>1995</v>
      </c>
      <c r="R137" s="171">
        <v>1</v>
      </c>
      <c r="S137" s="171"/>
      <c r="T137" s="173"/>
      <c r="U137" s="171"/>
      <c r="V137" s="171"/>
      <c r="W137" s="171"/>
      <c r="X137" s="57">
        <v>0</v>
      </c>
      <c r="Y137" s="172">
        <v>2</v>
      </c>
      <c r="Z137" s="175" t="s">
        <v>676</v>
      </c>
      <c r="AA137" s="176">
        <v>2021</v>
      </c>
      <c r="AB137" s="176">
        <v>8</v>
      </c>
      <c r="AC137" s="176">
        <v>3</v>
      </c>
      <c r="AD137" s="177" t="b">
        <f>IF(ISBLANK(GroupMember[[#This Row],[1. Identifiant interne d’exploitation agricole*]]),"",IF(ISERROR(MATCH(GroupMember[[#This Row],[1. Identifiant interne d’exploitation agricole*]],CertifiedCrop[1. Identifiant interne d’exploitation agricole*],0)),FALSE,TRUE))</f>
        <v>1</v>
      </c>
      <c r="AE137" s="177" t="b">
        <f>IF(ISBLANK(GroupMember[[#This Row],[1. Identifiant interne d’exploitation agricole*]]),"",IF(ISERROR(MATCH(GroupMember[[#This Row],[1. Identifiant interne d’exploitation agricole*]],FarmUnit[1. Identifiant interne d’exploitation agricole*],0)),FALSE,TRUE))</f>
        <v>1</v>
      </c>
      <c r="AF137" s="178" t="str">
        <f t="shared" si="8"/>
        <v>PAGBELEM JACQUES</v>
      </c>
      <c r="AG137" s="179" t="str">
        <f t="shared" si="9"/>
        <v>3/8/2021</v>
      </c>
      <c r="AH137" s="180">
        <f t="shared" si="11"/>
        <v>6</v>
      </c>
      <c r="AI137" s="181">
        <f t="shared" si="10"/>
        <v>0.16666666666666666</v>
      </c>
    </row>
    <row r="138" spans="1:35" ht="15">
      <c r="A138" s="170" t="s">
        <v>1188</v>
      </c>
      <c r="B138" s="171" t="s">
        <v>1188</v>
      </c>
      <c r="C138" s="171" t="s">
        <v>1188</v>
      </c>
      <c r="D138" s="171" t="s">
        <v>667</v>
      </c>
      <c r="E138" s="171" t="s">
        <v>668</v>
      </c>
      <c r="F138" s="171" t="s">
        <v>669</v>
      </c>
      <c r="G138" s="171" t="s">
        <v>670</v>
      </c>
      <c r="H138" s="195">
        <v>3.5619999999999998</v>
      </c>
      <c r="I138" s="171" t="s">
        <v>671</v>
      </c>
      <c r="J138" s="57">
        <v>1</v>
      </c>
      <c r="K138" s="172">
        <v>2021</v>
      </c>
      <c r="L138" s="173" t="s">
        <v>1189</v>
      </c>
      <c r="M138" s="173" t="s">
        <v>1190</v>
      </c>
      <c r="N138" s="174" t="s">
        <v>1191</v>
      </c>
      <c r="O138" s="171" t="s">
        <v>2514</v>
      </c>
      <c r="P138" s="171" t="s">
        <v>675</v>
      </c>
      <c r="Q138" s="209">
        <v>1990</v>
      </c>
      <c r="R138" s="171">
        <v>3</v>
      </c>
      <c r="S138" s="171"/>
      <c r="T138" s="173"/>
      <c r="U138" s="171"/>
      <c r="V138" s="171"/>
      <c r="W138" s="171"/>
      <c r="X138" s="57">
        <v>0</v>
      </c>
      <c r="Y138" s="172">
        <v>2</v>
      </c>
      <c r="Z138" s="175" t="s">
        <v>676</v>
      </c>
      <c r="AA138" s="176">
        <v>2021</v>
      </c>
      <c r="AB138" s="176">
        <v>8</v>
      </c>
      <c r="AC138" s="176">
        <v>6</v>
      </c>
      <c r="AD138" s="177" t="b">
        <f>IF(ISBLANK(GroupMember[[#This Row],[1. Identifiant interne d’exploitation agricole*]]),"",IF(ISERROR(MATCH(GroupMember[[#This Row],[1. Identifiant interne d’exploitation agricole*]],CertifiedCrop[1. Identifiant interne d’exploitation agricole*],0)),FALSE,TRUE))</f>
        <v>1</v>
      </c>
      <c r="AE138" s="177" t="b">
        <f>IF(ISBLANK(GroupMember[[#This Row],[1. Identifiant interne d’exploitation agricole*]]),"",IF(ISERROR(MATCH(GroupMember[[#This Row],[1. Identifiant interne d’exploitation agricole*]],FarmUnit[1. Identifiant interne d’exploitation agricole*],0)),FALSE,TRUE))</f>
        <v>1</v>
      </c>
      <c r="AF138" s="178" t="str">
        <f t="shared" si="8"/>
        <v>ZOUGRANA KASSOUM</v>
      </c>
      <c r="AG138" s="179" t="str">
        <f t="shared" si="9"/>
        <v>6/8/2021</v>
      </c>
      <c r="AH138" s="180">
        <f t="shared" si="11"/>
        <v>5</v>
      </c>
      <c r="AI138" s="181">
        <f t="shared" si="10"/>
        <v>0.16666666666666666</v>
      </c>
    </row>
    <row r="139" spans="1:35" ht="15">
      <c r="A139" s="170" t="s">
        <v>1192</v>
      </c>
      <c r="B139" s="171" t="s">
        <v>1192</v>
      </c>
      <c r="C139" s="171" t="s">
        <v>1192</v>
      </c>
      <c r="D139" s="171" t="s">
        <v>667</v>
      </c>
      <c r="E139" s="171" t="s">
        <v>668</v>
      </c>
      <c r="F139" s="171" t="s">
        <v>669</v>
      </c>
      <c r="G139" s="171" t="s">
        <v>670</v>
      </c>
      <c r="H139" s="195">
        <v>1.7389000000000001</v>
      </c>
      <c r="I139" s="171" t="s">
        <v>671</v>
      </c>
      <c r="J139" s="57">
        <v>1</v>
      </c>
      <c r="K139" s="172">
        <v>2021</v>
      </c>
      <c r="L139" s="173" t="s">
        <v>1193</v>
      </c>
      <c r="M139" s="173" t="s">
        <v>1194</v>
      </c>
      <c r="N139" s="174" t="s">
        <v>1195</v>
      </c>
      <c r="O139" s="171" t="s">
        <v>1196</v>
      </c>
      <c r="P139" s="171" t="s">
        <v>675</v>
      </c>
      <c r="Q139" s="209">
        <v>1995</v>
      </c>
      <c r="R139" s="171">
        <v>4</v>
      </c>
      <c r="S139" s="171"/>
      <c r="T139" s="173"/>
      <c r="U139" s="171"/>
      <c r="V139" s="171"/>
      <c r="W139" s="171"/>
      <c r="X139" s="57">
        <v>0</v>
      </c>
      <c r="Y139" s="172">
        <v>2</v>
      </c>
      <c r="Z139" s="175" t="s">
        <v>676</v>
      </c>
      <c r="AA139" s="176">
        <v>2021</v>
      </c>
      <c r="AB139" s="176">
        <v>7</v>
      </c>
      <c r="AC139" s="176">
        <v>8</v>
      </c>
      <c r="AD139" s="177" t="b">
        <f>IF(ISBLANK(GroupMember[[#This Row],[1. Identifiant interne d’exploitation agricole*]]),"",IF(ISERROR(MATCH(GroupMember[[#This Row],[1. Identifiant interne d’exploitation agricole*]],CertifiedCrop[1. Identifiant interne d’exploitation agricole*],0)),FALSE,TRUE))</f>
        <v>1</v>
      </c>
      <c r="AE139" s="177" t="b">
        <f>IF(ISBLANK(GroupMember[[#This Row],[1. Identifiant interne d’exploitation agricole*]]),"",IF(ISERROR(MATCH(GroupMember[[#This Row],[1. Identifiant interne d’exploitation agricole*]],FarmUnit[1. Identifiant interne d’exploitation agricole*],0)),FALSE,TRUE))</f>
        <v>1</v>
      </c>
      <c r="AF139" s="178" t="str">
        <f t="shared" si="8"/>
        <v>SARAMBE  RIGOMA</v>
      </c>
      <c r="AG139" s="179" t="str">
        <f t="shared" si="9"/>
        <v>8/7/2021</v>
      </c>
      <c r="AH139" s="180">
        <f t="shared" si="11"/>
        <v>6</v>
      </c>
      <c r="AI139" s="181">
        <f t="shared" si="10"/>
        <v>0.16666666666666666</v>
      </c>
    </row>
    <row r="140" spans="1:35" ht="15">
      <c r="A140" s="170" t="s">
        <v>1197</v>
      </c>
      <c r="B140" s="171" t="s">
        <v>1197</v>
      </c>
      <c r="C140" s="171" t="s">
        <v>1197</v>
      </c>
      <c r="D140" s="171" t="s">
        <v>667</v>
      </c>
      <c r="E140" s="171" t="s">
        <v>668</v>
      </c>
      <c r="F140" s="171" t="s">
        <v>669</v>
      </c>
      <c r="G140" s="171" t="s">
        <v>670</v>
      </c>
      <c r="H140" s="195">
        <v>3.1417000000000002</v>
      </c>
      <c r="I140" s="171" t="s">
        <v>671</v>
      </c>
      <c r="J140" s="57">
        <v>1</v>
      </c>
      <c r="K140" s="172">
        <v>2021</v>
      </c>
      <c r="L140" s="173" t="s">
        <v>749</v>
      </c>
      <c r="M140" s="173" t="s">
        <v>1198</v>
      </c>
      <c r="N140" s="174" t="s">
        <v>1199</v>
      </c>
      <c r="O140" s="171" t="s">
        <v>2515</v>
      </c>
      <c r="P140" s="171" t="s">
        <v>675</v>
      </c>
      <c r="Q140" s="209">
        <v>1993</v>
      </c>
      <c r="R140" s="171">
        <v>2</v>
      </c>
      <c r="S140" s="171"/>
      <c r="T140" s="173"/>
      <c r="U140" s="171"/>
      <c r="V140" s="171"/>
      <c r="W140" s="171"/>
      <c r="X140" s="57">
        <v>0</v>
      </c>
      <c r="Y140" s="172">
        <v>2</v>
      </c>
      <c r="Z140" s="175" t="s">
        <v>676</v>
      </c>
      <c r="AA140" s="176">
        <v>2021</v>
      </c>
      <c r="AB140" s="176">
        <v>8</v>
      </c>
      <c r="AC140" s="176">
        <v>2</v>
      </c>
      <c r="AD140" s="177" t="b">
        <f>IF(ISBLANK(GroupMember[[#This Row],[1. Identifiant interne d’exploitation agricole*]]),"",IF(ISERROR(MATCH(GroupMember[[#This Row],[1. Identifiant interne d’exploitation agricole*]],CertifiedCrop[1. Identifiant interne d’exploitation agricole*],0)),FALSE,TRUE))</f>
        <v>1</v>
      </c>
      <c r="AE140" s="177" t="b">
        <f>IF(ISBLANK(GroupMember[[#This Row],[1. Identifiant interne d’exploitation agricole*]]),"",IF(ISERROR(MATCH(GroupMember[[#This Row],[1. Identifiant interne d’exploitation agricole*]],FarmUnit[1. Identifiant interne d’exploitation agricole*],0)),FALSE,TRUE))</f>
        <v>1</v>
      </c>
      <c r="AF140" s="178" t="str">
        <f t="shared" si="8"/>
        <v>SAWADOGO  HAMADO</v>
      </c>
      <c r="AG140" s="179" t="str">
        <f t="shared" si="9"/>
        <v>2/8/2021</v>
      </c>
      <c r="AH140" s="180">
        <f t="shared" si="11"/>
        <v>5</v>
      </c>
      <c r="AI140" s="181">
        <f t="shared" si="10"/>
        <v>0.16666666666666666</v>
      </c>
    </row>
    <row r="141" spans="1:35" ht="15">
      <c r="A141" s="170" t="s">
        <v>1200</v>
      </c>
      <c r="B141" s="171" t="s">
        <v>1200</v>
      </c>
      <c r="C141" s="171" t="s">
        <v>1200</v>
      </c>
      <c r="D141" s="171" t="s">
        <v>667</v>
      </c>
      <c r="E141" s="171" t="s">
        <v>668</v>
      </c>
      <c r="F141" s="171" t="s">
        <v>669</v>
      </c>
      <c r="G141" s="171" t="s">
        <v>670</v>
      </c>
      <c r="H141" s="195">
        <v>3.3812000000000002</v>
      </c>
      <c r="I141" s="171" t="s">
        <v>671</v>
      </c>
      <c r="J141" s="57">
        <v>1</v>
      </c>
      <c r="K141" s="172">
        <v>2021</v>
      </c>
      <c r="L141" s="173" t="s">
        <v>749</v>
      </c>
      <c r="M141" s="173" t="s">
        <v>1201</v>
      </c>
      <c r="N141" s="174" t="s">
        <v>1202</v>
      </c>
      <c r="O141" s="171" t="s">
        <v>1203</v>
      </c>
      <c r="P141" s="171" t="s">
        <v>675</v>
      </c>
      <c r="Q141" s="209">
        <v>1974</v>
      </c>
      <c r="R141" s="171">
        <v>11</v>
      </c>
      <c r="S141" s="171"/>
      <c r="T141" s="173"/>
      <c r="U141" s="171"/>
      <c r="V141" s="171"/>
      <c r="W141" s="171"/>
      <c r="X141" s="57">
        <v>0</v>
      </c>
      <c r="Y141" s="172">
        <v>2</v>
      </c>
      <c r="Z141" s="175" t="s">
        <v>676</v>
      </c>
      <c r="AA141" s="176">
        <v>2021</v>
      </c>
      <c r="AB141" s="176">
        <v>7</v>
      </c>
      <c r="AC141" s="176">
        <v>6</v>
      </c>
      <c r="AD141" s="177" t="b">
        <f>IF(ISBLANK(GroupMember[[#This Row],[1. Identifiant interne d’exploitation agricole*]]),"",IF(ISERROR(MATCH(GroupMember[[#This Row],[1. Identifiant interne d’exploitation agricole*]],CertifiedCrop[1. Identifiant interne d’exploitation agricole*],0)),FALSE,TRUE))</f>
        <v>1</v>
      </c>
      <c r="AE141" s="177" t="b">
        <f>IF(ISBLANK(GroupMember[[#This Row],[1. Identifiant interne d’exploitation agricole*]]),"",IF(ISERROR(MATCH(GroupMember[[#This Row],[1. Identifiant interne d’exploitation agricole*]],FarmUnit[1. Identifiant interne d’exploitation agricole*],0)),FALSE,TRUE))</f>
        <v>1</v>
      </c>
      <c r="AF141" s="178" t="str">
        <f t="shared" si="8"/>
        <v>SAWADOGO  RAYAMBA DRAMANE</v>
      </c>
      <c r="AG141" s="179" t="str">
        <f t="shared" si="9"/>
        <v>6/7/2021</v>
      </c>
      <c r="AH141" s="180">
        <f t="shared" si="11"/>
        <v>5</v>
      </c>
      <c r="AI141" s="181">
        <f t="shared" si="10"/>
        <v>0.16666666666666666</v>
      </c>
    </row>
    <row r="142" spans="1:35" ht="15">
      <c r="A142" s="170" t="s">
        <v>1204</v>
      </c>
      <c r="B142" s="171" t="s">
        <v>1204</v>
      </c>
      <c r="C142" s="171" t="s">
        <v>1204</v>
      </c>
      <c r="D142" s="171" t="s">
        <v>667</v>
      </c>
      <c r="E142" s="171" t="s">
        <v>668</v>
      </c>
      <c r="F142" s="171" t="s">
        <v>669</v>
      </c>
      <c r="G142" s="171" t="s">
        <v>670</v>
      </c>
      <c r="H142" s="195">
        <v>3.4075000000000002</v>
      </c>
      <c r="I142" s="171" t="s">
        <v>671</v>
      </c>
      <c r="J142" s="57">
        <v>1</v>
      </c>
      <c r="K142" s="172">
        <v>2021</v>
      </c>
      <c r="L142" s="173" t="s">
        <v>749</v>
      </c>
      <c r="M142" s="173" t="s">
        <v>1205</v>
      </c>
      <c r="N142" s="174" t="s">
        <v>1206</v>
      </c>
      <c r="O142" s="171" t="s">
        <v>2516</v>
      </c>
      <c r="P142" s="171" t="s">
        <v>675</v>
      </c>
      <c r="Q142" s="209">
        <v>1986</v>
      </c>
      <c r="R142" s="171">
        <v>6</v>
      </c>
      <c r="S142" s="171"/>
      <c r="T142" s="173"/>
      <c r="U142" s="171"/>
      <c r="V142" s="171"/>
      <c r="W142" s="171"/>
      <c r="X142" s="57">
        <v>0</v>
      </c>
      <c r="Y142" s="172">
        <v>2</v>
      </c>
      <c r="Z142" s="175" t="s">
        <v>676</v>
      </c>
      <c r="AA142" s="176">
        <v>2021</v>
      </c>
      <c r="AB142" s="176">
        <v>7</v>
      </c>
      <c r="AC142" s="176">
        <v>12</v>
      </c>
      <c r="AD142" s="177" t="b">
        <f>IF(ISBLANK(GroupMember[[#This Row],[1. Identifiant interne d’exploitation agricole*]]),"",IF(ISERROR(MATCH(GroupMember[[#This Row],[1. Identifiant interne d’exploitation agricole*]],CertifiedCrop[1. Identifiant interne d’exploitation agricole*],0)),FALSE,TRUE))</f>
        <v>1</v>
      </c>
      <c r="AE142" s="177" t="b">
        <f>IF(ISBLANK(GroupMember[[#This Row],[1. Identifiant interne d’exploitation agricole*]]),"",IF(ISERROR(MATCH(GroupMember[[#This Row],[1. Identifiant interne d’exploitation agricole*]],FarmUnit[1. Identifiant interne d’exploitation agricole*],0)),FALSE,TRUE))</f>
        <v>1</v>
      </c>
      <c r="AF142" s="178" t="str">
        <f t="shared" si="8"/>
        <v>SAWADOGO  SALIF</v>
      </c>
      <c r="AG142" s="179" t="str">
        <f t="shared" si="9"/>
        <v>12/7/2021</v>
      </c>
      <c r="AH142" s="180">
        <f t="shared" si="11"/>
        <v>5</v>
      </c>
      <c r="AI142" s="181">
        <f t="shared" si="10"/>
        <v>0.16666666666666666</v>
      </c>
    </row>
    <row r="143" spans="1:35" ht="15">
      <c r="A143" s="170" t="s">
        <v>1207</v>
      </c>
      <c r="B143" s="171" t="s">
        <v>1207</v>
      </c>
      <c r="C143" s="171" t="s">
        <v>1207</v>
      </c>
      <c r="D143" s="171" t="s">
        <v>667</v>
      </c>
      <c r="E143" s="171" t="s">
        <v>668</v>
      </c>
      <c r="F143" s="171" t="s">
        <v>669</v>
      </c>
      <c r="G143" s="171" t="s">
        <v>670</v>
      </c>
      <c r="H143" s="195">
        <v>2.0468000000000002</v>
      </c>
      <c r="I143" s="171" t="s">
        <v>671</v>
      </c>
      <c r="J143" s="57">
        <v>1</v>
      </c>
      <c r="K143" s="172">
        <v>2021</v>
      </c>
      <c r="L143" s="173" t="s">
        <v>749</v>
      </c>
      <c r="M143" s="173" t="s">
        <v>1162</v>
      </c>
      <c r="N143" s="174" t="s">
        <v>1208</v>
      </c>
      <c r="O143" s="171" t="s">
        <v>2517</v>
      </c>
      <c r="P143" s="171" t="s">
        <v>675</v>
      </c>
      <c r="Q143" s="209">
        <v>1990</v>
      </c>
      <c r="R143" s="171">
        <v>2</v>
      </c>
      <c r="S143" s="171"/>
      <c r="T143" s="173"/>
      <c r="U143" s="171"/>
      <c r="V143" s="171"/>
      <c r="W143" s="171"/>
      <c r="X143" s="57">
        <v>0</v>
      </c>
      <c r="Y143" s="172">
        <v>2</v>
      </c>
      <c r="Z143" s="175" t="s">
        <v>676</v>
      </c>
      <c r="AA143" s="176">
        <v>2021</v>
      </c>
      <c r="AB143" s="176">
        <v>7</v>
      </c>
      <c r="AC143" s="176">
        <v>22</v>
      </c>
      <c r="AD143" s="177" t="b">
        <f>IF(ISBLANK(GroupMember[[#This Row],[1. Identifiant interne d’exploitation agricole*]]),"",IF(ISERROR(MATCH(GroupMember[[#This Row],[1. Identifiant interne d’exploitation agricole*]],CertifiedCrop[1. Identifiant interne d’exploitation agricole*],0)),FALSE,TRUE))</f>
        <v>1</v>
      </c>
      <c r="AE143" s="177" t="b">
        <f>IF(ISBLANK(GroupMember[[#This Row],[1. Identifiant interne d’exploitation agricole*]]),"",IF(ISERROR(MATCH(GroupMember[[#This Row],[1. Identifiant interne d’exploitation agricole*]],FarmUnit[1. Identifiant interne d’exploitation agricole*],0)),FALSE,TRUE))</f>
        <v>1</v>
      </c>
      <c r="AF143" s="178" t="str">
        <f t="shared" si="8"/>
        <v>SAWADOGO  OUSSENI</v>
      </c>
      <c r="AG143" s="179" t="str">
        <f t="shared" si="9"/>
        <v>22/7/2021</v>
      </c>
      <c r="AH143" s="180">
        <f t="shared" si="11"/>
        <v>6</v>
      </c>
      <c r="AI143" s="181">
        <f t="shared" si="10"/>
        <v>0.16666666666666666</v>
      </c>
    </row>
    <row r="144" spans="1:35" ht="15">
      <c r="A144" s="170" t="s">
        <v>1209</v>
      </c>
      <c r="B144" s="171" t="s">
        <v>1209</v>
      </c>
      <c r="C144" s="171" t="s">
        <v>1209</v>
      </c>
      <c r="D144" s="171" t="s">
        <v>667</v>
      </c>
      <c r="E144" s="171" t="s">
        <v>668</v>
      </c>
      <c r="F144" s="171" t="s">
        <v>669</v>
      </c>
      <c r="G144" s="171" t="s">
        <v>670</v>
      </c>
      <c r="H144" s="195">
        <v>4.1364000000000001</v>
      </c>
      <c r="I144" s="171" t="s">
        <v>671</v>
      </c>
      <c r="J144" s="57">
        <v>1</v>
      </c>
      <c r="K144" s="172">
        <v>2021</v>
      </c>
      <c r="L144" s="173" t="s">
        <v>678</v>
      </c>
      <c r="M144" s="173" t="s">
        <v>1210</v>
      </c>
      <c r="N144" s="174" t="s">
        <v>1211</v>
      </c>
      <c r="O144" s="171" t="s">
        <v>2518</v>
      </c>
      <c r="P144" s="171" t="s">
        <v>675</v>
      </c>
      <c r="Q144" s="209">
        <v>1989</v>
      </c>
      <c r="R144" s="171">
        <v>4</v>
      </c>
      <c r="S144" s="171"/>
      <c r="T144" s="173"/>
      <c r="U144" s="171"/>
      <c r="V144" s="171"/>
      <c r="W144" s="171"/>
      <c r="X144" s="57">
        <v>0</v>
      </c>
      <c r="Y144" s="172">
        <v>2</v>
      </c>
      <c r="Z144" s="175" t="s">
        <v>676</v>
      </c>
      <c r="AA144" s="176">
        <v>2021</v>
      </c>
      <c r="AB144" s="176">
        <v>7</v>
      </c>
      <c r="AC144" s="176">
        <v>7</v>
      </c>
      <c r="AD144" s="177" t="b">
        <f>IF(ISBLANK(GroupMember[[#This Row],[1. Identifiant interne d’exploitation agricole*]]),"",IF(ISERROR(MATCH(GroupMember[[#This Row],[1. Identifiant interne d’exploitation agricole*]],CertifiedCrop[1. Identifiant interne d’exploitation agricole*],0)),FALSE,TRUE))</f>
        <v>1</v>
      </c>
      <c r="AE144" s="177" t="b">
        <f>IF(ISBLANK(GroupMember[[#This Row],[1. Identifiant interne d’exploitation agricole*]]),"",IF(ISERROR(MATCH(GroupMember[[#This Row],[1. Identifiant interne d’exploitation agricole*]],FarmUnit[1. Identifiant interne d’exploitation agricole*],0)),FALSE,TRUE))</f>
        <v>1</v>
      </c>
      <c r="AF144" s="178" t="str">
        <f t="shared" si="8"/>
        <v>OUEDRAOGO WENNONGA</v>
      </c>
      <c r="AG144" s="179" t="str">
        <f t="shared" si="9"/>
        <v>7/7/2021</v>
      </c>
      <c r="AH144" s="180">
        <f t="shared" si="11"/>
        <v>6</v>
      </c>
      <c r="AI144" s="181">
        <f t="shared" si="10"/>
        <v>0.16666666666666666</v>
      </c>
    </row>
    <row r="145" spans="1:35" ht="15">
      <c r="A145" s="170" t="s">
        <v>1212</v>
      </c>
      <c r="B145" s="171" t="s">
        <v>1212</v>
      </c>
      <c r="C145" s="171" t="s">
        <v>1212</v>
      </c>
      <c r="D145" s="171" t="s">
        <v>667</v>
      </c>
      <c r="E145" s="171" t="s">
        <v>668</v>
      </c>
      <c r="F145" s="171" t="s">
        <v>669</v>
      </c>
      <c r="G145" s="171" t="s">
        <v>670</v>
      </c>
      <c r="H145" s="195">
        <v>3.1998000000000002</v>
      </c>
      <c r="I145" s="171" t="s">
        <v>671</v>
      </c>
      <c r="J145" s="57">
        <v>1</v>
      </c>
      <c r="K145" s="172">
        <v>2021</v>
      </c>
      <c r="L145" s="173" t="s">
        <v>1213</v>
      </c>
      <c r="M145" s="173" t="s">
        <v>1214</v>
      </c>
      <c r="N145" s="174" t="s">
        <v>1215</v>
      </c>
      <c r="O145" s="171" t="s">
        <v>1216</v>
      </c>
      <c r="P145" s="171" t="s">
        <v>675</v>
      </c>
      <c r="Q145" s="209">
        <v>1978</v>
      </c>
      <c r="R145" s="171">
        <v>7</v>
      </c>
      <c r="S145" s="171"/>
      <c r="T145" s="173"/>
      <c r="U145" s="171"/>
      <c r="V145" s="171"/>
      <c r="W145" s="171"/>
      <c r="X145" s="57">
        <v>0</v>
      </c>
      <c r="Y145" s="172">
        <v>2</v>
      </c>
      <c r="Z145" s="175" t="s">
        <v>676</v>
      </c>
      <c r="AA145" s="176">
        <v>2021</v>
      </c>
      <c r="AB145" s="176">
        <v>7</v>
      </c>
      <c r="AC145" s="176">
        <v>21</v>
      </c>
      <c r="AD145" s="177" t="b">
        <f>IF(ISBLANK(GroupMember[[#This Row],[1. Identifiant interne d’exploitation agricole*]]),"",IF(ISERROR(MATCH(GroupMember[[#This Row],[1. Identifiant interne d’exploitation agricole*]],CertifiedCrop[1. Identifiant interne d’exploitation agricole*],0)),FALSE,TRUE))</f>
        <v>1</v>
      </c>
      <c r="AE145" s="177" t="b">
        <f>IF(ISBLANK(GroupMember[[#This Row],[1. Identifiant interne d’exploitation agricole*]]),"",IF(ISERROR(MATCH(GroupMember[[#This Row],[1. Identifiant interne d’exploitation agricole*]],FarmUnit[1. Identifiant interne d’exploitation agricole*],0)),FALSE,TRUE))</f>
        <v>1</v>
      </c>
      <c r="AF145" s="178" t="str">
        <f t="shared" si="8"/>
        <v>DIBI KONAN NARCISSE</v>
      </c>
      <c r="AG145" s="179" t="str">
        <f t="shared" si="9"/>
        <v>21/7/2021</v>
      </c>
      <c r="AH145" s="180">
        <f t="shared" si="11"/>
        <v>6</v>
      </c>
      <c r="AI145" s="181">
        <f t="shared" si="10"/>
        <v>0.16666666666666666</v>
      </c>
    </row>
    <row r="146" spans="1:35" ht="15">
      <c r="A146" s="170" t="s">
        <v>1217</v>
      </c>
      <c r="B146" s="171" t="s">
        <v>1217</v>
      </c>
      <c r="C146" s="171" t="s">
        <v>1217</v>
      </c>
      <c r="D146" s="171" t="s">
        <v>667</v>
      </c>
      <c r="E146" s="171" t="s">
        <v>668</v>
      </c>
      <c r="F146" s="171" t="s">
        <v>669</v>
      </c>
      <c r="G146" s="171" t="s">
        <v>670</v>
      </c>
      <c r="H146" s="195">
        <v>3.7324999999999999</v>
      </c>
      <c r="I146" s="171" t="s">
        <v>671</v>
      </c>
      <c r="J146" s="57">
        <v>1</v>
      </c>
      <c r="K146" s="172">
        <v>2021</v>
      </c>
      <c r="L146" s="173" t="s">
        <v>916</v>
      </c>
      <c r="M146" s="173" t="s">
        <v>1218</v>
      </c>
      <c r="N146" s="174" t="s">
        <v>1219</v>
      </c>
      <c r="O146" s="171" t="s">
        <v>1220</v>
      </c>
      <c r="P146" s="171" t="s">
        <v>675</v>
      </c>
      <c r="Q146" s="209">
        <v>1989</v>
      </c>
      <c r="R146" s="171">
        <v>5</v>
      </c>
      <c r="S146" s="171"/>
      <c r="T146" s="173"/>
      <c r="U146" s="171"/>
      <c r="V146" s="171"/>
      <c r="W146" s="171"/>
      <c r="X146" s="57">
        <v>0</v>
      </c>
      <c r="Y146" s="172">
        <v>2</v>
      </c>
      <c r="Z146" s="175" t="s">
        <v>676</v>
      </c>
      <c r="AA146" s="176">
        <v>2021</v>
      </c>
      <c r="AB146" s="176">
        <v>7</v>
      </c>
      <c r="AC146" s="176">
        <v>17</v>
      </c>
      <c r="AD146" s="177" t="b">
        <f>IF(ISBLANK(GroupMember[[#This Row],[1. Identifiant interne d’exploitation agricole*]]),"",IF(ISERROR(MATCH(GroupMember[[#This Row],[1. Identifiant interne d’exploitation agricole*]],CertifiedCrop[1. Identifiant interne d’exploitation agricole*],0)),FALSE,TRUE))</f>
        <v>1</v>
      </c>
      <c r="AE146" s="177" t="b">
        <f>IF(ISBLANK(GroupMember[[#This Row],[1. Identifiant interne d’exploitation agricole*]]),"",IF(ISERROR(MATCH(GroupMember[[#This Row],[1. Identifiant interne d’exploitation agricole*]],FarmUnit[1. Identifiant interne d’exploitation agricole*],0)),FALSE,TRUE))</f>
        <v>1</v>
      </c>
      <c r="AF146" s="178" t="str">
        <f t="shared" si="8"/>
        <v>COULIBALY NOUDAHON</v>
      </c>
      <c r="AG146" s="179" t="str">
        <f t="shared" si="9"/>
        <v>17/7/2021</v>
      </c>
      <c r="AH146" s="180">
        <f t="shared" si="11"/>
        <v>1</v>
      </c>
      <c r="AI146" s="181">
        <f t="shared" si="10"/>
        <v>0.16666666666666666</v>
      </c>
    </row>
    <row r="147" spans="1:35" ht="15">
      <c r="A147" s="170" t="s">
        <v>1221</v>
      </c>
      <c r="B147" s="171" t="s">
        <v>1221</v>
      </c>
      <c r="C147" s="171" t="s">
        <v>1221</v>
      </c>
      <c r="D147" s="171" t="s">
        <v>667</v>
      </c>
      <c r="E147" s="171" t="s">
        <v>668</v>
      </c>
      <c r="F147" s="171" t="s">
        <v>669</v>
      </c>
      <c r="G147" s="171" t="s">
        <v>670</v>
      </c>
      <c r="H147" s="195">
        <v>2.8401000000000001</v>
      </c>
      <c r="I147" s="171" t="s">
        <v>671</v>
      </c>
      <c r="J147" s="57">
        <v>1</v>
      </c>
      <c r="K147" s="172">
        <v>2021</v>
      </c>
      <c r="L147" s="173" t="s">
        <v>1222</v>
      </c>
      <c r="M147" s="173" t="s">
        <v>769</v>
      </c>
      <c r="N147" s="174" t="s">
        <v>1223</v>
      </c>
      <c r="O147" s="171" t="s">
        <v>1224</v>
      </c>
      <c r="P147" s="171" t="s">
        <v>675</v>
      </c>
      <c r="Q147" s="209">
        <v>1973</v>
      </c>
      <c r="R147" s="171">
        <v>11</v>
      </c>
      <c r="S147" s="171"/>
      <c r="T147" s="173"/>
      <c r="U147" s="171"/>
      <c r="V147" s="171"/>
      <c r="W147" s="171"/>
      <c r="X147" s="57">
        <v>0</v>
      </c>
      <c r="Y147" s="172">
        <v>2</v>
      </c>
      <c r="Z147" s="175" t="s">
        <v>676</v>
      </c>
      <c r="AA147" s="176">
        <v>2021</v>
      </c>
      <c r="AB147" s="176">
        <v>7</v>
      </c>
      <c r="AC147" s="176">
        <v>29</v>
      </c>
      <c r="AD147" s="177" t="b">
        <f>IF(ISBLANK(GroupMember[[#This Row],[1. Identifiant interne d’exploitation agricole*]]),"",IF(ISERROR(MATCH(GroupMember[[#This Row],[1. Identifiant interne d’exploitation agricole*]],CertifiedCrop[1. Identifiant interne d’exploitation agricole*],0)),FALSE,TRUE))</f>
        <v>1</v>
      </c>
      <c r="AE147" s="177" t="b">
        <f>IF(ISBLANK(GroupMember[[#This Row],[1. Identifiant interne d’exploitation agricole*]]),"",IF(ISERROR(MATCH(GroupMember[[#This Row],[1. Identifiant interne d’exploitation agricole*]],FarmUnit[1. Identifiant interne d’exploitation agricole*],0)),FALSE,TRUE))</f>
        <v>1</v>
      </c>
      <c r="AF147" s="178" t="str">
        <f t="shared" si="8"/>
        <v>SANKARA SALIFOU</v>
      </c>
      <c r="AG147" s="179" t="str">
        <f t="shared" si="9"/>
        <v>29/7/2021</v>
      </c>
      <c r="AH147" s="180">
        <f t="shared" si="11"/>
        <v>5</v>
      </c>
      <c r="AI147" s="181">
        <f t="shared" si="10"/>
        <v>0.16666666666666666</v>
      </c>
    </row>
    <row r="148" spans="1:35" ht="15">
      <c r="A148" s="170" t="s">
        <v>1225</v>
      </c>
      <c r="B148" s="171" t="s">
        <v>1225</v>
      </c>
      <c r="C148" s="171" t="s">
        <v>1225</v>
      </c>
      <c r="D148" s="171" t="s">
        <v>667</v>
      </c>
      <c r="E148" s="171" t="s">
        <v>668</v>
      </c>
      <c r="F148" s="171" t="s">
        <v>669</v>
      </c>
      <c r="G148" s="171" t="s">
        <v>670</v>
      </c>
      <c r="H148" s="195">
        <v>9.5104000000000006</v>
      </c>
      <c r="I148" s="171" t="s">
        <v>671</v>
      </c>
      <c r="J148" s="57">
        <v>1</v>
      </c>
      <c r="K148" s="172">
        <v>2021</v>
      </c>
      <c r="L148" s="173" t="s">
        <v>759</v>
      </c>
      <c r="M148" s="173" t="s">
        <v>1226</v>
      </c>
      <c r="N148" s="174" t="s">
        <v>1227</v>
      </c>
      <c r="O148" s="57" t="s">
        <v>1846</v>
      </c>
      <c r="P148" s="171" t="s">
        <v>675</v>
      </c>
      <c r="Q148" s="209">
        <v>1965</v>
      </c>
      <c r="R148" s="171">
        <v>6</v>
      </c>
      <c r="S148" s="171"/>
      <c r="T148" s="173"/>
      <c r="U148" s="171"/>
      <c r="V148" s="171"/>
      <c r="W148" s="171"/>
      <c r="X148" s="57">
        <v>3</v>
      </c>
      <c r="Y148" s="172">
        <v>5</v>
      </c>
      <c r="Z148" s="175" t="s">
        <v>676</v>
      </c>
      <c r="AA148" s="176">
        <v>2021</v>
      </c>
      <c r="AB148" s="176">
        <v>7</v>
      </c>
      <c r="AC148" s="176">
        <v>14</v>
      </c>
      <c r="AD148" s="177" t="b">
        <f>IF(ISBLANK(GroupMember[[#This Row],[1. Identifiant interne d’exploitation agricole*]]),"",IF(ISERROR(MATCH(GroupMember[[#This Row],[1. Identifiant interne d’exploitation agricole*]],CertifiedCrop[1. Identifiant interne d’exploitation agricole*],0)),FALSE,TRUE))</f>
        <v>1</v>
      </c>
      <c r="AE148" s="177" t="b">
        <f>IF(ISBLANK(GroupMember[[#This Row],[1. Identifiant interne d’exploitation agricole*]]),"",IF(ISERROR(MATCH(GroupMember[[#This Row],[1. Identifiant interne d’exploitation agricole*]],FarmUnit[1. Identifiant interne d’exploitation agricole*],0)),FALSE,TRUE))</f>
        <v>1</v>
      </c>
      <c r="AF148" s="178" t="str">
        <f t="shared" si="8"/>
        <v>RAKISTABA AMADI</v>
      </c>
      <c r="AG148" s="179" t="str">
        <f t="shared" si="9"/>
        <v>14/7/2021</v>
      </c>
      <c r="AH148" s="180">
        <f t="shared" si="11"/>
        <v>5</v>
      </c>
      <c r="AI148" s="181">
        <f t="shared" si="10"/>
        <v>3.4166666666666665</v>
      </c>
    </row>
    <row r="149" spans="1:35" ht="15">
      <c r="A149" s="170" t="s">
        <v>1228</v>
      </c>
      <c r="B149" s="171" t="s">
        <v>1228</v>
      </c>
      <c r="C149" s="171" t="s">
        <v>1228</v>
      </c>
      <c r="D149" s="171" t="s">
        <v>667</v>
      </c>
      <c r="E149" s="171" t="s">
        <v>668</v>
      </c>
      <c r="F149" s="171" t="s">
        <v>669</v>
      </c>
      <c r="G149" s="171" t="s">
        <v>670</v>
      </c>
      <c r="H149" s="195">
        <v>3.5876000000000001</v>
      </c>
      <c r="I149" s="171" t="s">
        <v>671</v>
      </c>
      <c r="J149" s="57">
        <v>1</v>
      </c>
      <c r="K149" s="172">
        <v>2021</v>
      </c>
      <c r="L149" s="173" t="s">
        <v>773</v>
      </c>
      <c r="M149" s="173" t="s">
        <v>1229</v>
      </c>
      <c r="N149" s="174" t="s">
        <v>1230</v>
      </c>
      <c r="O149" s="57" t="s">
        <v>1845</v>
      </c>
      <c r="P149" s="171" t="s">
        <v>675</v>
      </c>
      <c r="Q149" s="209">
        <v>1996</v>
      </c>
      <c r="R149" s="171">
        <v>1</v>
      </c>
      <c r="S149" s="171"/>
      <c r="T149" s="173"/>
      <c r="U149" s="171"/>
      <c r="V149" s="171"/>
      <c r="W149" s="171"/>
      <c r="X149" s="57">
        <v>0</v>
      </c>
      <c r="Y149" s="172">
        <v>2</v>
      </c>
      <c r="Z149" s="175" t="s">
        <v>676</v>
      </c>
      <c r="AA149" s="176">
        <v>2021</v>
      </c>
      <c r="AB149" s="176">
        <v>7</v>
      </c>
      <c r="AC149" s="176">
        <v>7</v>
      </c>
      <c r="AD149" s="177" t="b">
        <f>IF(ISBLANK(GroupMember[[#This Row],[1. Identifiant interne d’exploitation agricole*]]),"",IF(ISERROR(MATCH(GroupMember[[#This Row],[1. Identifiant interne d’exploitation agricole*]],CertifiedCrop[1. Identifiant interne d’exploitation agricole*],0)),FALSE,TRUE))</f>
        <v>1</v>
      </c>
      <c r="AE149" s="177" t="b">
        <f>IF(ISBLANK(GroupMember[[#This Row],[1. Identifiant interne d’exploitation agricole*]]),"",IF(ISERROR(MATCH(GroupMember[[#This Row],[1. Identifiant interne d’exploitation agricole*]],FarmUnit[1. Identifiant interne d’exploitation agricole*],0)),FALSE,TRUE))</f>
        <v>1</v>
      </c>
      <c r="AF149" s="178" t="str">
        <f t="shared" si="8"/>
        <v>ZONGO OLIVIER</v>
      </c>
      <c r="AG149" s="179" t="str">
        <f t="shared" si="9"/>
        <v>7/7/2021</v>
      </c>
      <c r="AH149" s="180">
        <f t="shared" si="11"/>
        <v>6</v>
      </c>
      <c r="AI149" s="181">
        <f t="shared" si="10"/>
        <v>0.16666666666666666</v>
      </c>
    </row>
    <row r="150" spans="1:35" ht="15">
      <c r="A150" s="170" t="s">
        <v>1231</v>
      </c>
      <c r="B150" s="171" t="s">
        <v>1231</v>
      </c>
      <c r="C150" s="171" t="s">
        <v>1231</v>
      </c>
      <c r="D150" s="171" t="s">
        <v>667</v>
      </c>
      <c r="E150" s="171" t="s">
        <v>668</v>
      </c>
      <c r="F150" s="171" t="s">
        <v>669</v>
      </c>
      <c r="G150" s="171" t="s">
        <v>670</v>
      </c>
      <c r="H150" s="195">
        <v>3.2564000000000002</v>
      </c>
      <c r="I150" s="171" t="s">
        <v>671</v>
      </c>
      <c r="J150" s="57">
        <v>1</v>
      </c>
      <c r="K150" s="172">
        <v>2021</v>
      </c>
      <c r="L150" s="173" t="s">
        <v>1124</v>
      </c>
      <c r="M150" s="173" t="s">
        <v>925</v>
      </c>
      <c r="N150" s="174" t="s">
        <v>1232</v>
      </c>
      <c r="O150" s="171" t="s">
        <v>2519</v>
      </c>
      <c r="P150" s="171" t="s">
        <v>675</v>
      </c>
      <c r="Q150" s="209">
        <v>2000</v>
      </c>
      <c r="R150" s="171">
        <v>4</v>
      </c>
      <c r="S150" s="171"/>
      <c r="T150" s="173"/>
      <c r="U150" s="171"/>
      <c r="V150" s="171"/>
      <c r="W150" s="171"/>
      <c r="X150" s="57">
        <v>0</v>
      </c>
      <c r="Y150" s="172">
        <v>2</v>
      </c>
      <c r="Z150" s="175" t="s">
        <v>676</v>
      </c>
      <c r="AA150" s="176">
        <v>2021</v>
      </c>
      <c r="AB150" s="176">
        <v>8</v>
      </c>
      <c r="AC150" s="176">
        <v>2</v>
      </c>
      <c r="AD150" s="177" t="b">
        <f>IF(ISBLANK(GroupMember[[#This Row],[1. Identifiant interne d’exploitation agricole*]]),"",IF(ISERROR(MATCH(GroupMember[[#This Row],[1. Identifiant interne d’exploitation agricole*]],CertifiedCrop[1. Identifiant interne d’exploitation agricole*],0)),FALSE,TRUE))</f>
        <v>1</v>
      </c>
      <c r="AE150" s="177" t="b">
        <f>IF(ISBLANK(GroupMember[[#This Row],[1. Identifiant interne d’exploitation agricole*]]),"",IF(ISERROR(MATCH(GroupMember[[#This Row],[1. Identifiant interne d’exploitation agricole*]],FarmUnit[1. Identifiant interne d’exploitation agricole*],0)),FALSE,TRUE))</f>
        <v>1</v>
      </c>
      <c r="AF150" s="178" t="str">
        <f t="shared" si="8"/>
        <v>BADOLO  MAMADOU</v>
      </c>
      <c r="AG150" s="179" t="str">
        <f t="shared" si="9"/>
        <v>2/8/2021</v>
      </c>
      <c r="AH150" s="180">
        <f t="shared" si="11"/>
        <v>5</v>
      </c>
      <c r="AI150" s="181">
        <f t="shared" si="10"/>
        <v>0.16666666666666666</v>
      </c>
    </row>
    <row r="151" spans="1:35" ht="15">
      <c r="A151" s="170" t="s">
        <v>1233</v>
      </c>
      <c r="B151" s="171" t="s">
        <v>1233</v>
      </c>
      <c r="C151" s="171" t="s">
        <v>1233</v>
      </c>
      <c r="D151" s="171" t="s">
        <v>667</v>
      </c>
      <c r="E151" s="171" t="s">
        <v>668</v>
      </c>
      <c r="F151" s="171" t="s">
        <v>669</v>
      </c>
      <c r="G151" s="171" t="s">
        <v>670</v>
      </c>
      <c r="H151" s="195">
        <v>3.3047</v>
      </c>
      <c r="I151" s="171" t="s">
        <v>671</v>
      </c>
      <c r="J151" s="57">
        <v>1</v>
      </c>
      <c r="K151" s="172">
        <v>2021</v>
      </c>
      <c r="L151" s="173" t="s">
        <v>1234</v>
      </c>
      <c r="M151" s="173" t="s">
        <v>1235</v>
      </c>
      <c r="N151" s="174" t="s">
        <v>1236</v>
      </c>
      <c r="O151" s="171" t="s">
        <v>1237</v>
      </c>
      <c r="P151" s="171" t="s">
        <v>675</v>
      </c>
      <c r="Q151" s="209">
        <v>1996</v>
      </c>
      <c r="R151" s="171">
        <v>5</v>
      </c>
      <c r="S151" s="171"/>
      <c r="T151" s="173"/>
      <c r="U151" s="171"/>
      <c r="V151" s="171"/>
      <c r="W151" s="171"/>
      <c r="X151" s="57">
        <v>0</v>
      </c>
      <c r="Y151" s="172">
        <v>2</v>
      </c>
      <c r="Z151" s="175" t="s">
        <v>676</v>
      </c>
      <c r="AA151" s="176">
        <v>2021</v>
      </c>
      <c r="AB151" s="176">
        <v>7</v>
      </c>
      <c r="AC151" s="176">
        <v>12</v>
      </c>
      <c r="AD151" s="177" t="b">
        <f>IF(ISBLANK(GroupMember[[#This Row],[1. Identifiant interne d’exploitation agricole*]]),"",IF(ISERROR(MATCH(GroupMember[[#This Row],[1. Identifiant interne d’exploitation agricole*]],CertifiedCrop[1. Identifiant interne d’exploitation agricole*],0)),FALSE,TRUE))</f>
        <v>1</v>
      </c>
      <c r="AE151" s="177" t="b">
        <f>IF(ISBLANK(GroupMember[[#This Row],[1. Identifiant interne d’exploitation agricole*]]),"",IF(ISERROR(MATCH(GroupMember[[#This Row],[1. Identifiant interne d’exploitation agricole*]],FarmUnit[1. Identifiant interne d’exploitation agricole*],0)),FALSE,TRUE))</f>
        <v>1</v>
      </c>
      <c r="AF151" s="178" t="str">
        <f t="shared" si="8"/>
        <v>NAGRENGO ALBERT</v>
      </c>
      <c r="AG151" s="179" t="str">
        <f t="shared" si="9"/>
        <v>12/7/2021</v>
      </c>
      <c r="AH151" s="180">
        <f t="shared" si="11"/>
        <v>5</v>
      </c>
      <c r="AI151" s="181">
        <f t="shared" si="10"/>
        <v>0.16666666666666666</v>
      </c>
    </row>
    <row r="152" spans="1:35" ht="15">
      <c r="A152" s="170" t="s">
        <v>1238</v>
      </c>
      <c r="B152" s="171" t="s">
        <v>1238</v>
      </c>
      <c r="C152" s="171" t="s">
        <v>1238</v>
      </c>
      <c r="D152" s="171" t="s">
        <v>667</v>
      </c>
      <c r="E152" s="171" t="s">
        <v>668</v>
      </c>
      <c r="F152" s="171" t="s">
        <v>669</v>
      </c>
      <c r="G152" s="171" t="s">
        <v>670</v>
      </c>
      <c r="H152" s="195">
        <v>3.4141499999999998</v>
      </c>
      <c r="I152" s="171" t="s">
        <v>671</v>
      </c>
      <c r="J152" s="57">
        <v>1</v>
      </c>
      <c r="K152" s="172">
        <v>2021</v>
      </c>
      <c r="L152" s="173" t="s">
        <v>1239</v>
      </c>
      <c r="M152" s="173" t="s">
        <v>1240</v>
      </c>
      <c r="N152" s="174" t="s">
        <v>1241</v>
      </c>
      <c r="O152" s="171" t="s">
        <v>1242</v>
      </c>
      <c r="P152" s="171" t="s">
        <v>675</v>
      </c>
      <c r="Q152" s="209">
        <v>1982</v>
      </c>
      <c r="R152" s="171">
        <v>5</v>
      </c>
      <c r="S152" s="171"/>
      <c r="T152" s="173"/>
      <c r="U152" s="171"/>
      <c r="V152" s="171"/>
      <c r="W152" s="171"/>
      <c r="X152" s="57">
        <v>0</v>
      </c>
      <c r="Y152" s="172">
        <v>2</v>
      </c>
      <c r="Z152" s="175" t="s">
        <v>676</v>
      </c>
      <c r="AA152" s="176">
        <v>2021</v>
      </c>
      <c r="AB152" s="176">
        <v>7</v>
      </c>
      <c r="AC152" s="176">
        <v>7</v>
      </c>
      <c r="AD152" s="177" t="b">
        <f>IF(ISBLANK(GroupMember[[#This Row],[1. Identifiant interne d’exploitation agricole*]]),"",IF(ISERROR(MATCH(GroupMember[[#This Row],[1. Identifiant interne d’exploitation agricole*]],CertifiedCrop[1. Identifiant interne d’exploitation agricole*],0)),FALSE,TRUE))</f>
        <v>1</v>
      </c>
      <c r="AE152" s="177" t="b">
        <f>IF(ISBLANK(GroupMember[[#This Row],[1. Identifiant interne d’exploitation agricole*]]),"",IF(ISERROR(MATCH(GroupMember[[#This Row],[1. Identifiant interne d’exploitation agricole*]],FarmUnit[1. Identifiant interne d’exploitation agricole*],0)),FALSE,TRUE))</f>
        <v>1</v>
      </c>
      <c r="AF152" s="178" t="str">
        <f t="shared" si="8"/>
        <v>YELYAORE DANIEL</v>
      </c>
      <c r="AG152" s="179" t="str">
        <f t="shared" si="9"/>
        <v>7/7/2021</v>
      </c>
      <c r="AH152" s="180">
        <f t="shared" si="11"/>
        <v>6</v>
      </c>
      <c r="AI152" s="181">
        <f t="shared" si="10"/>
        <v>0.16666666666666666</v>
      </c>
    </row>
    <row r="153" spans="1:35" ht="15">
      <c r="A153" s="170" t="s">
        <v>1243</v>
      </c>
      <c r="B153" s="171" t="s">
        <v>1243</v>
      </c>
      <c r="C153" s="171" t="s">
        <v>1243</v>
      </c>
      <c r="D153" s="171" t="s">
        <v>667</v>
      </c>
      <c r="E153" s="171" t="s">
        <v>668</v>
      </c>
      <c r="F153" s="171" t="s">
        <v>669</v>
      </c>
      <c r="G153" s="171" t="s">
        <v>670</v>
      </c>
      <c r="H153" s="195">
        <v>3.1282000000000001</v>
      </c>
      <c r="I153" s="171" t="s">
        <v>671</v>
      </c>
      <c r="J153" s="57">
        <v>1</v>
      </c>
      <c r="K153" s="172">
        <v>2021</v>
      </c>
      <c r="L153" s="173" t="s">
        <v>678</v>
      </c>
      <c r="M153" s="173" t="s">
        <v>1244</v>
      </c>
      <c r="N153" s="174" t="s">
        <v>1245</v>
      </c>
      <c r="O153" s="171" t="s">
        <v>2520</v>
      </c>
      <c r="P153" s="171" t="s">
        <v>675</v>
      </c>
      <c r="Q153" s="209">
        <v>2000</v>
      </c>
      <c r="R153" s="171">
        <v>1</v>
      </c>
      <c r="S153" s="171"/>
      <c r="T153" s="173"/>
      <c r="U153" s="171"/>
      <c r="V153" s="171"/>
      <c r="W153" s="171"/>
      <c r="X153" s="57">
        <v>0</v>
      </c>
      <c r="Y153" s="172">
        <v>2</v>
      </c>
      <c r="Z153" s="175" t="s">
        <v>676</v>
      </c>
      <c r="AA153" s="176">
        <v>2021</v>
      </c>
      <c r="AB153" s="176">
        <v>7</v>
      </c>
      <c r="AC153" s="176">
        <v>29</v>
      </c>
      <c r="AD153" s="177" t="b">
        <f>IF(ISBLANK(GroupMember[[#This Row],[1. Identifiant interne d’exploitation agricole*]]),"",IF(ISERROR(MATCH(GroupMember[[#This Row],[1. Identifiant interne d’exploitation agricole*]],CertifiedCrop[1. Identifiant interne d’exploitation agricole*],0)),FALSE,TRUE))</f>
        <v>1</v>
      </c>
      <c r="AE153" s="177" t="b">
        <f>IF(ISBLANK(GroupMember[[#This Row],[1. Identifiant interne d’exploitation agricole*]]),"",IF(ISERROR(MATCH(GroupMember[[#This Row],[1. Identifiant interne d’exploitation agricole*]],FarmUnit[1. Identifiant interne d’exploitation agricole*],0)),FALSE,TRUE))</f>
        <v>1</v>
      </c>
      <c r="AF153" s="178" t="str">
        <f t="shared" si="8"/>
        <v>OUEDRAOGO GUESSYMALGRE</v>
      </c>
      <c r="AG153" s="179" t="str">
        <f t="shared" si="9"/>
        <v>29/7/2021</v>
      </c>
      <c r="AH153" s="180">
        <f t="shared" si="11"/>
        <v>5</v>
      </c>
      <c r="AI153" s="181">
        <f t="shared" si="10"/>
        <v>0.16666666666666666</v>
      </c>
    </row>
    <row r="154" spans="1:35" ht="15">
      <c r="A154" s="170" t="s">
        <v>1246</v>
      </c>
      <c r="B154" s="171" t="s">
        <v>1246</v>
      </c>
      <c r="C154" s="171" t="s">
        <v>1246</v>
      </c>
      <c r="D154" s="171" t="s">
        <v>667</v>
      </c>
      <c r="E154" s="171" t="s">
        <v>668</v>
      </c>
      <c r="F154" s="171" t="s">
        <v>669</v>
      </c>
      <c r="G154" s="171" t="s">
        <v>670</v>
      </c>
      <c r="H154" s="195">
        <v>4.7690999999999999</v>
      </c>
      <c r="I154" s="171" t="s">
        <v>671</v>
      </c>
      <c r="J154" s="57">
        <v>1</v>
      </c>
      <c r="K154" s="172">
        <v>2021</v>
      </c>
      <c r="L154" s="173" t="s">
        <v>1247</v>
      </c>
      <c r="M154" s="173" t="s">
        <v>1248</v>
      </c>
      <c r="N154" s="174" t="s">
        <v>1249</v>
      </c>
      <c r="O154" s="171" t="s">
        <v>2521</v>
      </c>
      <c r="P154" s="171" t="s">
        <v>675</v>
      </c>
      <c r="Q154" s="209">
        <v>1969</v>
      </c>
      <c r="R154" s="171">
        <v>4</v>
      </c>
      <c r="S154" s="171"/>
      <c r="T154" s="173"/>
      <c r="U154" s="171"/>
      <c r="V154" s="171"/>
      <c r="W154" s="171"/>
      <c r="X154" s="57">
        <v>0</v>
      </c>
      <c r="Y154" s="172">
        <v>2</v>
      </c>
      <c r="Z154" s="175" t="s">
        <v>676</v>
      </c>
      <c r="AA154" s="176">
        <v>2021</v>
      </c>
      <c r="AB154" s="176">
        <v>7</v>
      </c>
      <c r="AC154" s="176">
        <v>14</v>
      </c>
      <c r="AD154" s="177" t="b">
        <f>IF(ISBLANK(GroupMember[[#This Row],[1. Identifiant interne d’exploitation agricole*]]),"",IF(ISERROR(MATCH(GroupMember[[#This Row],[1. Identifiant interne d’exploitation agricole*]],CertifiedCrop[1. Identifiant interne d’exploitation agricole*],0)),FALSE,TRUE))</f>
        <v>1</v>
      </c>
      <c r="AE154" s="177" t="b">
        <f>IF(ISBLANK(GroupMember[[#This Row],[1. Identifiant interne d’exploitation agricole*]]),"",IF(ISERROR(MATCH(GroupMember[[#This Row],[1. Identifiant interne d’exploitation agricole*]],FarmUnit[1. Identifiant interne d’exploitation agricole*],0)),FALSE,TRUE))</f>
        <v>1</v>
      </c>
      <c r="AF154" s="178" t="str">
        <f t="shared" si="8"/>
        <v>KOLOGO KODOUGOU</v>
      </c>
      <c r="AG154" s="179" t="str">
        <f t="shared" si="9"/>
        <v>14/7/2021</v>
      </c>
      <c r="AH154" s="180">
        <f t="shared" si="11"/>
        <v>5</v>
      </c>
      <c r="AI154" s="181">
        <f t="shared" si="10"/>
        <v>0.16666666666666666</v>
      </c>
    </row>
    <row r="155" spans="1:35" ht="15">
      <c r="A155" s="170" t="s">
        <v>1250</v>
      </c>
      <c r="B155" s="171" t="s">
        <v>1250</v>
      </c>
      <c r="C155" s="171" t="s">
        <v>1250</v>
      </c>
      <c r="D155" s="171" t="s">
        <v>1251</v>
      </c>
      <c r="E155" s="171" t="s">
        <v>668</v>
      </c>
      <c r="F155" s="171" t="s">
        <v>669</v>
      </c>
      <c r="G155" s="171" t="s">
        <v>670</v>
      </c>
      <c r="H155" s="195">
        <v>2.4767000000000001</v>
      </c>
      <c r="I155" s="171" t="s">
        <v>671</v>
      </c>
      <c r="J155" s="57">
        <v>1</v>
      </c>
      <c r="K155" s="172">
        <v>2021</v>
      </c>
      <c r="L155" s="173" t="s">
        <v>1252</v>
      </c>
      <c r="M155" s="173" t="s">
        <v>1253</v>
      </c>
      <c r="N155" s="174" t="s">
        <v>1254</v>
      </c>
      <c r="O155" s="171" t="s">
        <v>1255</v>
      </c>
      <c r="P155" s="171" t="s">
        <v>720</v>
      </c>
      <c r="Q155" s="209">
        <v>1989</v>
      </c>
      <c r="R155" s="171">
        <v>1</v>
      </c>
      <c r="S155" s="171"/>
      <c r="T155" s="173"/>
      <c r="U155" s="171"/>
      <c r="V155" s="171"/>
      <c r="W155" s="171"/>
      <c r="X155" s="57">
        <v>0</v>
      </c>
      <c r="Y155" s="172">
        <v>2</v>
      </c>
      <c r="Z155" s="175" t="s">
        <v>1256</v>
      </c>
      <c r="AA155" s="176">
        <v>2021</v>
      </c>
      <c r="AB155" s="176">
        <v>7</v>
      </c>
      <c r="AC155" s="176">
        <v>5</v>
      </c>
      <c r="AD155" s="177" t="b">
        <f>IF(ISBLANK(GroupMember[[#This Row],[1. Identifiant interne d’exploitation agricole*]]),"",IF(ISERROR(MATCH(GroupMember[[#This Row],[1. Identifiant interne d’exploitation agricole*]],CertifiedCrop[1. Identifiant interne d’exploitation agricole*],0)),FALSE,TRUE))</f>
        <v>1</v>
      </c>
      <c r="AE155" s="177" t="b">
        <f>IF(ISBLANK(GroupMember[[#This Row],[1. Identifiant interne d’exploitation agricole*]]),"",IF(ISERROR(MATCH(GroupMember[[#This Row],[1. Identifiant interne d’exploitation agricole*]],FarmUnit[1. Identifiant interne d’exploitation agricole*],0)),FALSE,TRUE))</f>
        <v>1</v>
      </c>
      <c r="AF155" s="178" t="str">
        <f t="shared" si="8"/>
        <v>OULAI SYLVIE</v>
      </c>
      <c r="AG155" s="179" t="str">
        <f t="shared" si="9"/>
        <v>5/7/2021</v>
      </c>
      <c r="AH155" s="180">
        <f t="shared" si="11"/>
        <v>5</v>
      </c>
      <c r="AI155" s="181">
        <f t="shared" si="10"/>
        <v>0.16666666666666666</v>
      </c>
    </row>
    <row r="156" spans="1:35" ht="15">
      <c r="A156" s="170" t="s">
        <v>1257</v>
      </c>
      <c r="B156" s="171" t="s">
        <v>1257</v>
      </c>
      <c r="C156" s="171" t="s">
        <v>1257</v>
      </c>
      <c r="D156" s="171" t="s">
        <v>1251</v>
      </c>
      <c r="E156" s="171" t="s">
        <v>668</v>
      </c>
      <c r="F156" s="171" t="s">
        <v>669</v>
      </c>
      <c r="G156" s="171" t="s">
        <v>670</v>
      </c>
      <c r="H156" s="195">
        <v>2.4405000000000001</v>
      </c>
      <c r="I156" s="171" t="s">
        <v>671</v>
      </c>
      <c r="J156" s="57">
        <v>1</v>
      </c>
      <c r="K156" s="172">
        <v>2021</v>
      </c>
      <c r="L156" s="173" t="s">
        <v>1252</v>
      </c>
      <c r="M156" s="173" t="s">
        <v>1258</v>
      </c>
      <c r="N156" s="174" t="s">
        <v>1259</v>
      </c>
      <c r="O156" s="57" t="s">
        <v>2522</v>
      </c>
      <c r="P156" s="171" t="s">
        <v>675</v>
      </c>
      <c r="Q156" s="209">
        <v>1995</v>
      </c>
      <c r="R156" s="171">
        <v>1</v>
      </c>
      <c r="S156" s="171"/>
      <c r="T156" s="173"/>
      <c r="U156" s="171"/>
      <c r="V156" s="171"/>
      <c r="W156" s="171"/>
      <c r="X156" s="57">
        <v>0</v>
      </c>
      <c r="Y156" s="172">
        <v>2</v>
      </c>
      <c r="Z156" s="175" t="s">
        <v>1256</v>
      </c>
      <c r="AA156" s="176">
        <v>2021</v>
      </c>
      <c r="AB156" s="176">
        <v>7</v>
      </c>
      <c r="AC156" s="176">
        <v>8</v>
      </c>
      <c r="AD156" s="177" t="b">
        <f>IF(ISBLANK(GroupMember[[#This Row],[1. Identifiant interne d’exploitation agricole*]]),"",IF(ISERROR(MATCH(GroupMember[[#This Row],[1. Identifiant interne d’exploitation agricole*]],CertifiedCrop[1. Identifiant interne d’exploitation agricole*],0)),FALSE,TRUE))</f>
        <v>1</v>
      </c>
      <c r="AE156" s="177" t="b">
        <f>IF(ISBLANK(GroupMember[[#This Row],[1. Identifiant interne d’exploitation agricole*]]),"",IF(ISERROR(MATCH(GroupMember[[#This Row],[1. Identifiant interne d’exploitation agricole*]],FarmUnit[1. Identifiant interne d’exploitation agricole*],0)),FALSE,TRUE))</f>
        <v>1</v>
      </c>
      <c r="AF156" s="178" t="str">
        <f t="shared" si="8"/>
        <v>OULAI INNOCENT</v>
      </c>
      <c r="AG156" s="179" t="str">
        <f t="shared" si="9"/>
        <v>8/7/2021</v>
      </c>
      <c r="AH156" s="180">
        <f t="shared" si="11"/>
        <v>6</v>
      </c>
      <c r="AI156" s="181">
        <f t="shared" si="10"/>
        <v>0.16666666666666666</v>
      </c>
    </row>
    <row r="157" spans="1:35" ht="15">
      <c r="A157" s="170" t="s">
        <v>1260</v>
      </c>
      <c r="B157" s="171" t="s">
        <v>1260</v>
      </c>
      <c r="C157" s="171" t="s">
        <v>1260</v>
      </c>
      <c r="D157" s="171" t="s">
        <v>1251</v>
      </c>
      <c r="E157" s="171" t="s">
        <v>668</v>
      </c>
      <c r="F157" s="171" t="s">
        <v>669</v>
      </c>
      <c r="G157" s="171" t="s">
        <v>670</v>
      </c>
      <c r="H157" s="195">
        <v>2.9068000000000001</v>
      </c>
      <c r="I157" s="171" t="s">
        <v>671</v>
      </c>
      <c r="J157" s="57">
        <v>1</v>
      </c>
      <c r="K157" s="172">
        <v>2021</v>
      </c>
      <c r="L157" s="173" t="s">
        <v>1261</v>
      </c>
      <c r="M157" s="173" t="s">
        <v>1262</v>
      </c>
      <c r="N157" s="174" t="s">
        <v>1263</v>
      </c>
      <c r="O157" s="171" t="s">
        <v>1264</v>
      </c>
      <c r="P157" s="171" t="s">
        <v>675</v>
      </c>
      <c r="Q157" s="209">
        <v>1950</v>
      </c>
      <c r="R157" s="171">
        <v>5</v>
      </c>
      <c r="S157" s="171"/>
      <c r="T157" s="173"/>
      <c r="U157" s="171"/>
      <c r="V157" s="171"/>
      <c r="W157" s="171"/>
      <c r="X157" s="57">
        <v>0</v>
      </c>
      <c r="Y157" s="172">
        <v>2</v>
      </c>
      <c r="Z157" s="175" t="s">
        <v>1256</v>
      </c>
      <c r="AA157" s="176">
        <v>2021</v>
      </c>
      <c r="AB157" s="176">
        <v>8</v>
      </c>
      <c r="AC157" s="176">
        <v>5</v>
      </c>
      <c r="AD157" s="177" t="b">
        <f>IF(ISBLANK(GroupMember[[#This Row],[1. Identifiant interne d’exploitation agricole*]]),"",IF(ISERROR(MATCH(GroupMember[[#This Row],[1. Identifiant interne d’exploitation agricole*]],CertifiedCrop[1. Identifiant interne d’exploitation agricole*],0)),FALSE,TRUE))</f>
        <v>1</v>
      </c>
      <c r="AE157" s="177" t="b">
        <f>IF(ISBLANK(GroupMember[[#This Row],[1. Identifiant interne d’exploitation agricole*]]),"",IF(ISERROR(MATCH(GroupMember[[#This Row],[1. Identifiant interne d’exploitation agricole*]],FarmUnit[1. Identifiant interne d’exploitation agricole*],0)),FALSE,TRUE))</f>
        <v>1</v>
      </c>
      <c r="AF157" s="178" t="str">
        <f t="shared" si="8"/>
        <v>ZOUEH OULAI YLAIRES</v>
      </c>
      <c r="AG157" s="179" t="str">
        <f t="shared" si="9"/>
        <v>5/8/2021</v>
      </c>
      <c r="AH157" s="180">
        <f t="shared" si="11"/>
        <v>2</v>
      </c>
      <c r="AI157" s="181">
        <f t="shared" si="10"/>
        <v>0.16666666666666666</v>
      </c>
    </row>
    <row r="158" spans="1:35" ht="15">
      <c r="A158" s="170" t="s">
        <v>1265</v>
      </c>
      <c r="B158" s="171" t="s">
        <v>1265</v>
      </c>
      <c r="C158" s="171" t="s">
        <v>1265</v>
      </c>
      <c r="D158" s="171" t="s">
        <v>1251</v>
      </c>
      <c r="E158" s="171" t="s">
        <v>668</v>
      </c>
      <c r="F158" s="171" t="s">
        <v>669</v>
      </c>
      <c r="G158" s="171" t="s">
        <v>670</v>
      </c>
      <c r="H158" s="195">
        <v>2.0655000000000001</v>
      </c>
      <c r="I158" s="171" t="s">
        <v>671</v>
      </c>
      <c r="J158" s="57">
        <v>1</v>
      </c>
      <c r="K158" s="172">
        <v>2021</v>
      </c>
      <c r="L158" s="173" t="s">
        <v>1266</v>
      </c>
      <c r="M158" s="173" t="s">
        <v>1267</v>
      </c>
      <c r="N158" s="174" t="s">
        <v>1268</v>
      </c>
      <c r="O158" s="171" t="s">
        <v>1269</v>
      </c>
      <c r="P158" s="171" t="s">
        <v>675</v>
      </c>
      <c r="Q158" s="209">
        <v>1978</v>
      </c>
      <c r="R158" s="171">
        <v>6</v>
      </c>
      <c r="S158" s="171"/>
      <c r="T158" s="173"/>
      <c r="U158" s="171"/>
      <c r="V158" s="171"/>
      <c r="W158" s="171"/>
      <c r="X158" s="57">
        <v>0</v>
      </c>
      <c r="Y158" s="172">
        <v>2</v>
      </c>
      <c r="Z158" s="175" t="s">
        <v>1256</v>
      </c>
      <c r="AA158" s="176">
        <v>2021</v>
      </c>
      <c r="AB158" s="176">
        <v>7</v>
      </c>
      <c r="AC158" s="176">
        <v>12</v>
      </c>
      <c r="AD158" s="177" t="b">
        <f>IF(ISBLANK(GroupMember[[#This Row],[1. Identifiant interne d’exploitation agricole*]]),"",IF(ISERROR(MATCH(GroupMember[[#This Row],[1. Identifiant interne d’exploitation agricole*]],CertifiedCrop[1. Identifiant interne d’exploitation agricole*],0)),FALSE,TRUE))</f>
        <v>1</v>
      </c>
      <c r="AE158" s="177" t="b">
        <f>IF(ISBLANK(GroupMember[[#This Row],[1. Identifiant interne d’exploitation agricole*]]),"",IF(ISERROR(MATCH(GroupMember[[#This Row],[1. Identifiant interne d’exploitation agricole*]],FarmUnit[1. Identifiant interne d’exploitation agricole*],0)),FALSE,TRUE))</f>
        <v>1</v>
      </c>
      <c r="AF158" s="178" t="str">
        <f t="shared" si="8"/>
        <v>DOH  ALEXIS</v>
      </c>
      <c r="AG158" s="179" t="str">
        <f t="shared" si="9"/>
        <v>12/7/2021</v>
      </c>
      <c r="AH158" s="180">
        <f t="shared" si="11"/>
        <v>5</v>
      </c>
      <c r="AI158" s="181">
        <f t="shared" si="10"/>
        <v>0.16666666666666666</v>
      </c>
    </row>
    <row r="159" spans="1:35" ht="15">
      <c r="A159" s="170" t="s">
        <v>1270</v>
      </c>
      <c r="B159" s="171" t="s">
        <v>1270</v>
      </c>
      <c r="C159" s="171" t="s">
        <v>1270</v>
      </c>
      <c r="D159" s="171" t="s">
        <v>1251</v>
      </c>
      <c r="E159" s="171" t="s">
        <v>668</v>
      </c>
      <c r="F159" s="171" t="s">
        <v>669</v>
      </c>
      <c r="G159" s="171" t="s">
        <v>670</v>
      </c>
      <c r="H159" s="195">
        <v>2.0963000000000003</v>
      </c>
      <c r="I159" s="171" t="s">
        <v>671</v>
      </c>
      <c r="J159" s="57">
        <v>1</v>
      </c>
      <c r="K159" s="172">
        <v>2021</v>
      </c>
      <c r="L159" s="173" t="s">
        <v>1271</v>
      </c>
      <c r="M159" s="173" t="s">
        <v>702</v>
      </c>
      <c r="N159" s="174" t="s">
        <v>884</v>
      </c>
      <c r="O159" s="171" t="s">
        <v>1272</v>
      </c>
      <c r="P159" s="171" t="s">
        <v>675</v>
      </c>
      <c r="Q159" s="209">
        <v>1980</v>
      </c>
      <c r="R159" s="171">
        <v>7</v>
      </c>
      <c r="S159" s="171"/>
      <c r="T159" s="173"/>
      <c r="U159" s="171"/>
      <c r="V159" s="171"/>
      <c r="W159" s="171"/>
      <c r="X159" s="57">
        <v>0</v>
      </c>
      <c r="Y159" s="172">
        <v>2</v>
      </c>
      <c r="Z159" s="175" t="s">
        <v>1256</v>
      </c>
      <c r="AA159" s="176">
        <v>2021</v>
      </c>
      <c r="AB159" s="176">
        <v>8</v>
      </c>
      <c r="AC159" s="176">
        <v>21</v>
      </c>
      <c r="AD159" s="177" t="b">
        <f>IF(ISBLANK(GroupMember[[#This Row],[1. Identifiant interne d’exploitation agricole*]]),"",IF(ISERROR(MATCH(GroupMember[[#This Row],[1. Identifiant interne d’exploitation agricole*]],CertifiedCrop[1. Identifiant interne d’exploitation agricole*],0)),FALSE,TRUE))</f>
        <v>1</v>
      </c>
      <c r="AE159" s="177" t="b">
        <f>IF(ISBLANK(GroupMember[[#This Row],[1. Identifiant interne d’exploitation agricole*]]),"",IF(ISERROR(MATCH(GroupMember[[#This Row],[1. Identifiant interne d’exploitation agricole*]],FarmUnit[1. Identifiant interne d’exploitation agricole*],0)),FALSE,TRUE))</f>
        <v>1</v>
      </c>
      <c r="AF159" s="178" t="str">
        <f t="shared" si="8"/>
        <v>DROH LAURENT</v>
      </c>
      <c r="AG159" s="179" t="str">
        <f t="shared" si="9"/>
        <v>21/8/2021</v>
      </c>
      <c r="AH159" s="180">
        <f t="shared" si="11"/>
        <v>2</v>
      </c>
      <c r="AI159" s="181">
        <f t="shared" si="10"/>
        <v>0.16666666666666666</v>
      </c>
    </row>
    <row r="160" spans="1:35" ht="15">
      <c r="A160" s="170" t="s">
        <v>1273</v>
      </c>
      <c r="B160" s="171" t="s">
        <v>1273</v>
      </c>
      <c r="C160" s="171" t="s">
        <v>1273</v>
      </c>
      <c r="D160" s="171" t="s">
        <v>1251</v>
      </c>
      <c r="E160" s="171" t="s">
        <v>668</v>
      </c>
      <c r="F160" s="171" t="s">
        <v>669</v>
      </c>
      <c r="G160" s="171" t="s">
        <v>670</v>
      </c>
      <c r="H160" s="195">
        <v>4.0779999999999994</v>
      </c>
      <c r="I160" s="171" t="s">
        <v>671</v>
      </c>
      <c r="J160" s="57">
        <v>1</v>
      </c>
      <c r="K160" s="172">
        <v>2021</v>
      </c>
      <c r="L160" s="173" t="s">
        <v>1271</v>
      </c>
      <c r="M160" s="173" t="s">
        <v>1274</v>
      </c>
      <c r="N160" s="174" t="s">
        <v>1275</v>
      </c>
      <c r="O160" s="171" t="s">
        <v>1276</v>
      </c>
      <c r="P160" s="171" t="s">
        <v>675</v>
      </c>
      <c r="Q160" s="209">
        <v>1979</v>
      </c>
      <c r="R160" s="171">
        <v>8</v>
      </c>
      <c r="S160" s="171"/>
      <c r="T160" s="173"/>
      <c r="U160" s="171"/>
      <c r="V160" s="171"/>
      <c r="W160" s="171"/>
      <c r="X160" s="57">
        <v>0</v>
      </c>
      <c r="Y160" s="172">
        <v>2</v>
      </c>
      <c r="Z160" s="175" t="s">
        <v>1256</v>
      </c>
      <c r="AA160" s="176">
        <v>2021</v>
      </c>
      <c r="AB160" s="176">
        <v>7</v>
      </c>
      <c r="AC160" s="176">
        <v>19</v>
      </c>
      <c r="AD160" s="177" t="b">
        <f>IF(ISBLANK(GroupMember[[#This Row],[1. Identifiant interne d’exploitation agricole*]]),"",IF(ISERROR(MATCH(GroupMember[[#This Row],[1. Identifiant interne d’exploitation agricole*]],CertifiedCrop[1. Identifiant interne d’exploitation agricole*],0)),FALSE,TRUE))</f>
        <v>1</v>
      </c>
      <c r="AE160" s="177" t="b">
        <f>IF(ISBLANK(GroupMember[[#This Row],[1. Identifiant interne d’exploitation agricole*]]),"",IF(ISERROR(MATCH(GroupMember[[#This Row],[1. Identifiant interne d’exploitation agricole*]],FarmUnit[1. Identifiant interne d’exploitation agricole*],0)),FALSE,TRUE))</f>
        <v>1</v>
      </c>
      <c r="AF160" s="178" t="str">
        <f t="shared" si="8"/>
        <v>DROH LEONARD</v>
      </c>
      <c r="AG160" s="179" t="str">
        <f t="shared" si="9"/>
        <v>19/7/2021</v>
      </c>
      <c r="AH160" s="180">
        <f t="shared" si="11"/>
        <v>2</v>
      </c>
      <c r="AI160" s="181">
        <f t="shared" si="10"/>
        <v>0.16666666666666666</v>
      </c>
    </row>
    <row r="161" spans="1:35" ht="15">
      <c r="A161" s="170" t="s">
        <v>1277</v>
      </c>
      <c r="B161" s="171" t="s">
        <v>1277</v>
      </c>
      <c r="C161" s="171" t="s">
        <v>1277</v>
      </c>
      <c r="D161" s="171" t="s">
        <v>1251</v>
      </c>
      <c r="E161" s="171" t="s">
        <v>668</v>
      </c>
      <c r="F161" s="171" t="s">
        <v>669</v>
      </c>
      <c r="G161" s="171" t="s">
        <v>670</v>
      </c>
      <c r="H161" s="195">
        <v>2.3565</v>
      </c>
      <c r="I161" s="171" t="s">
        <v>671</v>
      </c>
      <c r="J161" s="57">
        <v>1</v>
      </c>
      <c r="K161" s="172">
        <v>2021</v>
      </c>
      <c r="L161" s="173" t="s">
        <v>1278</v>
      </c>
      <c r="M161" s="173" t="s">
        <v>909</v>
      </c>
      <c r="N161" s="174" t="s">
        <v>1279</v>
      </c>
      <c r="O161" s="171" t="s">
        <v>1280</v>
      </c>
      <c r="P161" s="171" t="s">
        <v>675</v>
      </c>
      <c r="Q161" s="209">
        <v>1986</v>
      </c>
      <c r="R161" s="171">
        <v>11</v>
      </c>
      <c r="S161" s="171"/>
      <c r="T161" s="173"/>
      <c r="U161" s="171"/>
      <c r="V161" s="171"/>
      <c r="W161" s="171"/>
      <c r="X161" s="57">
        <v>0</v>
      </c>
      <c r="Y161" s="172">
        <v>2</v>
      </c>
      <c r="Z161" s="175" t="s">
        <v>1256</v>
      </c>
      <c r="AA161" s="176">
        <v>2021</v>
      </c>
      <c r="AB161" s="176">
        <v>7</v>
      </c>
      <c r="AC161" s="176">
        <v>14</v>
      </c>
      <c r="AD161" s="177" t="b">
        <f>IF(ISBLANK(GroupMember[[#This Row],[1. Identifiant interne d’exploitation agricole*]]),"",IF(ISERROR(MATCH(GroupMember[[#This Row],[1. Identifiant interne d’exploitation agricole*]],CertifiedCrop[1. Identifiant interne d’exploitation agricole*],0)),FALSE,TRUE))</f>
        <v>1</v>
      </c>
      <c r="AE161" s="177" t="b">
        <f>IF(ISBLANK(GroupMember[[#This Row],[1. Identifiant interne d’exploitation agricole*]]),"",IF(ISERROR(MATCH(GroupMember[[#This Row],[1. Identifiant interne d’exploitation agricole*]],FarmUnit[1. Identifiant interne d’exploitation agricole*],0)),FALSE,TRUE))</f>
        <v>1</v>
      </c>
      <c r="AF161" s="178" t="str">
        <f t="shared" si="8"/>
        <v>DROH  SYLVAIN</v>
      </c>
      <c r="AG161" s="179" t="str">
        <f t="shared" si="9"/>
        <v>14/7/2021</v>
      </c>
      <c r="AH161" s="180">
        <f t="shared" si="11"/>
        <v>2</v>
      </c>
      <c r="AI161" s="181">
        <f t="shared" si="10"/>
        <v>0.16666666666666666</v>
      </c>
    </row>
    <row r="162" spans="1:35" ht="15">
      <c r="A162" s="170" t="s">
        <v>1281</v>
      </c>
      <c r="B162" s="171" t="s">
        <v>1281</v>
      </c>
      <c r="C162" s="171" t="s">
        <v>1281</v>
      </c>
      <c r="D162" s="171" t="s">
        <v>1251</v>
      </c>
      <c r="E162" s="171" t="s">
        <v>668</v>
      </c>
      <c r="F162" s="171" t="s">
        <v>669</v>
      </c>
      <c r="G162" s="171" t="s">
        <v>670</v>
      </c>
      <c r="H162" s="195">
        <v>2.0563000000000002</v>
      </c>
      <c r="I162" s="171" t="s">
        <v>671</v>
      </c>
      <c r="J162" s="57">
        <v>1</v>
      </c>
      <c r="K162" s="172">
        <v>2021</v>
      </c>
      <c r="L162" s="173" t="s">
        <v>1271</v>
      </c>
      <c r="M162" s="173" t="s">
        <v>1282</v>
      </c>
      <c r="N162" s="174" t="s">
        <v>1283</v>
      </c>
      <c r="O162" s="171" t="s">
        <v>2523</v>
      </c>
      <c r="P162" s="171" t="s">
        <v>675</v>
      </c>
      <c r="Q162" s="209">
        <v>1987</v>
      </c>
      <c r="R162" s="171">
        <v>7</v>
      </c>
      <c r="S162" s="171"/>
      <c r="T162" s="173"/>
      <c r="U162" s="171"/>
      <c r="V162" s="171"/>
      <c r="W162" s="171"/>
      <c r="X162" s="57">
        <v>0</v>
      </c>
      <c r="Y162" s="172">
        <v>2</v>
      </c>
      <c r="Z162" s="175" t="s">
        <v>1256</v>
      </c>
      <c r="AA162" s="176">
        <v>2021</v>
      </c>
      <c r="AB162" s="176">
        <v>8</v>
      </c>
      <c r="AC162" s="176">
        <v>24</v>
      </c>
      <c r="AD162" s="177" t="b">
        <f>IF(ISBLANK(GroupMember[[#This Row],[1. Identifiant interne d’exploitation agricole*]]),"",IF(ISERROR(MATCH(GroupMember[[#This Row],[1. Identifiant interne d’exploitation agricole*]],CertifiedCrop[1. Identifiant interne d’exploitation agricole*],0)),FALSE,TRUE))</f>
        <v>1</v>
      </c>
      <c r="AE162" s="177" t="b">
        <f>IF(ISBLANK(GroupMember[[#This Row],[1. Identifiant interne d’exploitation agricole*]]),"",IF(ISERROR(MATCH(GroupMember[[#This Row],[1. Identifiant interne d’exploitation agricole*]],FarmUnit[1. Identifiant interne d’exploitation agricole*],0)),FALSE,TRUE))</f>
        <v>1</v>
      </c>
      <c r="AF162" s="178" t="str">
        <f t="shared" si="8"/>
        <v>DROH GERMAIN</v>
      </c>
      <c r="AG162" s="179" t="str">
        <f t="shared" si="9"/>
        <v>24/8/2021</v>
      </c>
      <c r="AH162" s="180">
        <f t="shared" si="11"/>
        <v>6</v>
      </c>
      <c r="AI162" s="181">
        <f t="shared" si="10"/>
        <v>0.16666666666666666</v>
      </c>
    </row>
    <row r="163" spans="1:35" ht="15">
      <c r="A163" s="170" t="s">
        <v>1284</v>
      </c>
      <c r="B163" s="171" t="s">
        <v>1284</v>
      </c>
      <c r="C163" s="171" t="s">
        <v>1284</v>
      </c>
      <c r="D163" s="171" t="s">
        <v>1251</v>
      </c>
      <c r="E163" s="171" t="s">
        <v>668</v>
      </c>
      <c r="F163" s="171" t="s">
        <v>669</v>
      </c>
      <c r="G163" s="171" t="s">
        <v>670</v>
      </c>
      <c r="H163" s="195">
        <v>1.9254</v>
      </c>
      <c r="I163" s="171" t="s">
        <v>671</v>
      </c>
      <c r="J163" s="57">
        <v>1</v>
      </c>
      <c r="K163" s="172">
        <v>2021</v>
      </c>
      <c r="L163" s="173" t="s">
        <v>1278</v>
      </c>
      <c r="M163" s="173" t="s">
        <v>1285</v>
      </c>
      <c r="N163" s="174" t="s">
        <v>1286</v>
      </c>
      <c r="O163" s="171" t="s">
        <v>2524</v>
      </c>
      <c r="P163" s="171" t="s">
        <v>675</v>
      </c>
      <c r="Q163" s="209">
        <v>1977</v>
      </c>
      <c r="R163" s="171">
        <v>5</v>
      </c>
      <c r="S163" s="171"/>
      <c r="T163" s="173"/>
      <c r="U163" s="171"/>
      <c r="V163" s="171"/>
      <c r="W163" s="171"/>
      <c r="X163" s="57">
        <v>0</v>
      </c>
      <c r="Y163" s="172">
        <v>2</v>
      </c>
      <c r="Z163" s="175" t="s">
        <v>1256</v>
      </c>
      <c r="AA163" s="176">
        <v>2021</v>
      </c>
      <c r="AB163" s="176">
        <v>7</v>
      </c>
      <c r="AC163" s="176">
        <v>26</v>
      </c>
      <c r="AD163" s="177" t="b">
        <f>IF(ISBLANK(GroupMember[[#This Row],[1. Identifiant interne d’exploitation agricole*]]),"",IF(ISERROR(MATCH(GroupMember[[#This Row],[1. Identifiant interne d’exploitation agricole*]],CertifiedCrop[1. Identifiant interne d’exploitation agricole*],0)),FALSE,TRUE))</f>
        <v>1</v>
      </c>
      <c r="AE163" s="177" t="b">
        <f>IF(ISBLANK(GroupMember[[#This Row],[1. Identifiant interne d’exploitation agricole*]]),"",IF(ISERROR(MATCH(GroupMember[[#This Row],[1. Identifiant interne d’exploitation agricole*]],FarmUnit[1. Identifiant interne d’exploitation agricole*],0)),FALSE,TRUE))</f>
        <v>1</v>
      </c>
      <c r="AF163" s="178" t="str">
        <f t="shared" si="8"/>
        <v>DROH  HERMAN</v>
      </c>
      <c r="AG163" s="179" t="str">
        <f t="shared" si="9"/>
        <v>26/7/2021</v>
      </c>
      <c r="AH163" s="180">
        <f t="shared" si="11"/>
        <v>4</v>
      </c>
      <c r="AI163" s="181">
        <f t="shared" si="10"/>
        <v>0.16666666666666666</v>
      </c>
    </row>
    <row r="164" spans="1:35" ht="15">
      <c r="A164" s="170" t="s">
        <v>1287</v>
      </c>
      <c r="B164" s="171" t="s">
        <v>1287</v>
      </c>
      <c r="C164" s="171" t="s">
        <v>1287</v>
      </c>
      <c r="D164" s="171" t="s">
        <v>1251</v>
      </c>
      <c r="E164" s="171" t="s">
        <v>668</v>
      </c>
      <c r="F164" s="171" t="s">
        <v>669</v>
      </c>
      <c r="G164" s="171" t="s">
        <v>670</v>
      </c>
      <c r="H164" s="195">
        <v>2.7199999999999998</v>
      </c>
      <c r="I164" s="171" t="s">
        <v>671</v>
      </c>
      <c r="J164" s="57">
        <v>1</v>
      </c>
      <c r="K164" s="172">
        <v>2021</v>
      </c>
      <c r="L164" s="173" t="s">
        <v>1288</v>
      </c>
      <c r="M164" s="173" t="s">
        <v>998</v>
      </c>
      <c r="N164" s="174" t="s">
        <v>1289</v>
      </c>
      <c r="O164" s="171" t="s">
        <v>2525</v>
      </c>
      <c r="P164" s="171" t="s">
        <v>675</v>
      </c>
      <c r="Q164" s="209">
        <v>1991</v>
      </c>
      <c r="R164" s="171">
        <v>4</v>
      </c>
      <c r="S164" s="171"/>
      <c r="T164" s="173"/>
      <c r="U164" s="171"/>
      <c r="V164" s="171"/>
      <c r="W164" s="171"/>
      <c r="X164" s="57">
        <v>0</v>
      </c>
      <c r="Y164" s="172">
        <v>2</v>
      </c>
      <c r="Z164" s="175" t="s">
        <v>1256</v>
      </c>
      <c r="AA164" s="176">
        <v>2021</v>
      </c>
      <c r="AB164" s="176">
        <v>8</v>
      </c>
      <c r="AC164" s="176">
        <v>26</v>
      </c>
      <c r="AD164" s="177" t="b">
        <f>IF(ISBLANK(GroupMember[[#This Row],[1. Identifiant interne d’exploitation agricole*]]),"",IF(ISERROR(MATCH(GroupMember[[#This Row],[1. Identifiant interne d’exploitation agricole*]],CertifiedCrop[1. Identifiant interne d’exploitation agricole*],0)),FALSE,TRUE))</f>
        <v>1</v>
      </c>
      <c r="AE164" s="177" t="b">
        <f>IF(ISBLANK(GroupMember[[#This Row],[1. Identifiant interne d’exploitation agricole*]]),"",IF(ISERROR(MATCH(GroupMember[[#This Row],[1. Identifiant interne d’exploitation agricole*]],FarmUnit[1. Identifiant interne d’exploitation agricole*],0)),FALSE,TRUE))</f>
        <v>1</v>
      </c>
      <c r="AF164" s="178" t="str">
        <f t="shared" si="8"/>
        <v>GUEU MAURICE</v>
      </c>
      <c r="AG164" s="179" t="str">
        <f t="shared" si="9"/>
        <v>26/8/2021</v>
      </c>
      <c r="AH164" s="180">
        <f t="shared" si="11"/>
        <v>4</v>
      </c>
      <c r="AI164" s="181">
        <f t="shared" si="10"/>
        <v>0.16666666666666666</v>
      </c>
    </row>
    <row r="165" spans="1:35" ht="15">
      <c r="A165" s="170" t="s">
        <v>1290</v>
      </c>
      <c r="B165" s="171" t="s">
        <v>1290</v>
      </c>
      <c r="C165" s="171" t="s">
        <v>1290</v>
      </c>
      <c r="D165" s="171" t="s">
        <v>1251</v>
      </c>
      <c r="E165" s="171" t="s">
        <v>668</v>
      </c>
      <c r="F165" s="171" t="s">
        <v>669</v>
      </c>
      <c r="G165" s="171" t="s">
        <v>670</v>
      </c>
      <c r="H165" s="195">
        <v>1.5878999999999999</v>
      </c>
      <c r="I165" s="171" t="s">
        <v>671</v>
      </c>
      <c r="J165" s="57">
        <v>1</v>
      </c>
      <c r="K165" s="172">
        <v>2021</v>
      </c>
      <c r="L165" s="173" t="s">
        <v>1252</v>
      </c>
      <c r="M165" s="173" t="s">
        <v>1291</v>
      </c>
      <c r="N165" s="174" t="s">
        <v>1292</v>
      </c>
      <c r="O165" s="171" t="s">
        <v>1293</v>
      </c>
      <c r="P165" s="171" t="s">
        <v>675</v>
      </c>
      <c r="Q165" s="209">
        <v>1983</v>
      </c>
      <c r="R165" s="171">
        <v>4</v>
      </c>
      <c r="S165" s="171"/>
      <c r="T165" s="173"/>
      <c r="U165" s="171"/>
      <c r="V165" s="171"/>
      <c r="W165" s="171"/>
      <c r="X165" s="57">
        <v>0</v>
      </c>
      <c r="Y165" s="172">
        <v>2</v>
      </c>
      <c r="Z165" s="175" t="s">
        <v>1256</v>
      </c>
      <c r="AA165" s="176">
        <v>2021</v>
      </c>
      <c r="AB165" s="176">
        <v>7</v>
      </c>
      <c r="AC165" s="176">
        <v>29</v>
      </c>
      <c r="AD165" s="177" t="b">
        <f>IF(ISBLANK(GroupMember[[#This Row],[1. Identifiant interne d’exploitation agricole*]]),"",IF(ISERROR(MATCH(GroupMember[[#This Row],[1. Identifiant interne d’exploitation agricole*]],CertifiedCrop[1. Identifiant interne d’exploitation agricole*],0)),FALSE,TRUE))</f>
        <v>1</v>
      </c>
      <c r="AE165" s="177" t="b">
        <f>IF(ISBLANK(GroupMember[[#This Row],[1. Identifiant interne d’exploitation agricole*]]),"",IF(ISERROR(MATCH(GroupMember[[#This Row],[1. Identifiant interne d’exploitation agricole*]],FarmUnit[1. Identifiant interne d’exploitation agricole*],0)),FALSE,TRUE))</f>
        <v>1</v>
      </c>
      <c r="AF165" s="178" t="str">
        <f t="shared" si="8"/>
        <v>OULAI KADER</v>
      </c>
      <c r="AG165" s="179" t="str">
        <f t="shared" si="9"/>
        <v>29/7/2021</v>
      </c>
      <c r="AH165" s="180">
        <f t="shared" si="11"/>
        <v>5</v>
      </c>
      <c r="AI165" s="181">
        <f t="shared" si="10"/>
        <v>0.16666666666666666</v>
      </c>
    </row>
    <row r="166" spans="1:35" ht="15">
      <c r="A166" s="170" t="s">
        <v>1294</v>
      </c>
      <c r="B166" s="171" t="s">
        <v>1294</v>
      </c>
      <c r="C166" s="171" t="s">
        <v>1294</v>
      </c>
      <c r="D166" s="171" t="s">
        <v>1251</v>
      </c>
      <c r="E166" s="171" t="s">
        <v>668</v>
      </c>
      <c r="F166" s="171" t="s">
        <v>669</v>
      </c>
      <c r="G166" s="171" t="s">
        <v>670</v>
      </c>
      <c r="H166" s="195">
        <v>2.4934000000000003</v>
      </c>
      <c r="I166" s="171" t="s">
        <v>671</v>
      </c>
      <c r="J166" s="57">
        <v>1</v>
      </c>
      <c r="K166" s="172">
        <v>2021</v>
      </c>
      <c r="L166" s="173" t="s">
        <v>1295</v>
      </c>
      <c r="M166" s="173" t="s">
        <v>679</v>
      </c>
      <c r="N166" s="174" t="s">
        <v>1296</v>
      </c>
      <c r="O166" s="57" t="s">
        <v>2526</v>
      </c>
      <c r="P166" s="171" t="s">
        <v>675</v>
      </c>
      <c r="Q166" s="209">
        <v>1993</v>
      </c>
      <c r="R166" s="171">
        <v>9</v>
      </c>
      <c r="S166" s="171"/>
      <c r="T166" s="173"/>
      <c r="U166" s="171"/>
      <c r="V166" s="171"/>
      <c r="W166" s="171"/>
      <c r="X166" s="57">
        <v>0</v>
      </c>
      <c r="Y166" s="172">
        <v>2</v>
      </c>
      <c r="Z166" s="175" t="s">
        <v>1256</v>
      </c>
      <c r="AA166" s="176">
        <v>2021</v>
      </c>
      <c r="AB166" s="176">
        <v>8</v>
      </c>
      <c r="AC166" s="176">
        <v>26</v>
      </c>
      <c r="AD166" s="177" t="b">
        <f>IF(ISBLANK(GroupMember[[#This Row],[1. Identifiant interne d’exploitation agricole*]]),"",IF(ISERROR(MATCH(GroupMember[[#This Row],[1. Identifiant interne d’exploitation agricole*]],CertifiedCrop[1. Identifiant interne d’exploitation agricole*],0)),FALSE,TRUE))</f>
        <v>1</v>
      </c>
      <c r="AE166" s="177" t="b">
        <f>IF(ISBLANK(GroupMember[[#This Row],[1. Identifiant interne d’exploitation agricole*]]),"",IF(ISERROR(MATCH(GroupMember[[#This Row],[1. Identifiant interne d’exploitation agricole*]],FarmUnit[1. Identifiant interne d’exploitation agricole*],0)),FALSE,TRUE))</f>
        <v>1</v>
      </c>
      <c r="AF166" s="178" t="str">
        <f t="shared" si="8"/>
        <v>TOGBE ARSENE</v>
      </c>
      <c r="AG166" s="179" t="str">
        <f t="shared" si="9"/>
        <v>26/8/2021</v>
      </c>
      <c r="AH166" s="180">
        <f t="shared" si="11"/>
        <v>4</v>
      </c>
      <c r="AI166" s="181">
        <f t="shared" si="10"/>
        <v>0.16666666666666666</v>
      </c>
    </row>
    <row r="167" spans="1:35" ht="15">
      <c r="A167" s="170" t="s">
        <v>1297</v>
      </c>
      <c r="B167" s="171" t="s">
        <v>1297</v>
      </c>
      <c r="C167" s="171" t="s">
        <v>1297</v>
      </c>
      <c r="D167" s="171" t="s">
        <v>1251</v>
      </c>
      <c r="E167" s="171" t="s">
        <v>668</v>
      </c>
      <c r="F167" s="171" t="s">
        <v>669</v>
      </c>
      <c r="G167" s="171" t="s">
        <v>670</v>
      </c>
      <c r="H167" s="195">
        <v>2.5095000000000001</v>
      </c>
      <c r="I167" s="171" t="s">
        <v>671</v>
      </c>
      <c r="J167" s="57">
        <v>1</v>
      </c>
      <c r="K167" s="172">
        <v>2021</v>
      </c>
      <c r="L167" s="173" t="s">
        <v>1298</v>
      </c>
      <c r="M167" s="173" t="s">
        <v>1299</v>
      </c>
      <c r="N167" s="174" t="s">
        <v>1300</v>
      </c>
      <c r="O167" s="57" t="s">
        <v>1838</v>
      </c>
      <c r="P167" s="171" t="s">
        <v>675</v>
      </c>
      <c r="Q167" s="209">
        <v>1988</v>
      </c>
      <c r="R167" s="171">
        <v>5</v>
      </c>
      <c r="S167" s="171"/>
      <c r="T167" s="173"/>
      <c r="U167" s="171"/>
      <c r="V167" s="171"/>
      <c r="W167" s="171"/>
      <c r="X167" s="57">
        <v>0</v>
      </c>
      <c r="Y167" s="172">
        <v>2</v>
      </c>
      <c r="Z167" s="175" t="s">
        <v>1256</v>
      </c>
      <c r="AA167" s="176">
        <v>2021</v>
      </c>
      <c r="AB167" s="176">
        <v>7</v>
      </c>
      <c r="AC167" s="176">
        <v>5</v>
      </c>
      <c r="AD167" s="177" t="b">
        <f>IF(ISBLANK(GroupMember[[#This Row],[1. Identifiant interne d’exploitation agricole*]]),"",IF(ISERROR(MATCH(GroupMember[[#This Row],[1. Identifiant interne d’exploitation agricole*]],CertifiedCrop[1. Identifiant interne d’exploitation agricole*],0)),FALSE,TRUE))</f>
        <v>1</v>
      </c>
      <c r="AE167" s="177" t="b">
        <f>IF(ISBLANK(GroupMember[[#This Row],[1. Identifiant interne d’exploitation agricole*]]),"",IF(ISERROR(MATCH(GroupMember[[#This Row],[1. Identifiant interne d’exploitation agricole*]],FarmUnit[1. Identifiant interne d’exploitation agricole*],0)),FALSE,TRUE))</f>
        <v>1</v>
      </c>
      <c r="AF167" s="178" t="str">
        <f t="shared" si="8"/>
        <v>KOFFI KOUADIO DAVID</v>
      </c>
      <c r="AG167" s="179" t="str">
        <f t="shared" si="9"/>
        <v>5/7/2021</v>
      </c>
      <c r="AH167" s="180">
        <f t="shared" si="11"/>
        <v>5</v>
      </c>
      <c r="AI167" s="181">
        <f t="shared" si="10"/>
        <v>0.16666666666666666</v>
      </c>
    </row>
    <row r="168" spans="1:35" ht="15">
      <c r="A168" s="170" t="s">
        <v>1302</v>
      </c>
      <c r="B168" s="171" t="s">
        <v>1302</v>
      </c>
      <c r="C168" s="171" t="s">
        <v>1302</v>
      </c>
      <c r="D168" s="171" t="s">
        <v>1251</v>
      </c>
      <c r="E168" s="171" t="s">
        <v>668</v>
      </c>
      <c r="F168" s="171" t="s">
        <v>669</v>
      </c>
      <c r="G168" s="171" t="s">
        <v>670</v>
      </c>
      <c r="H168" s="195">
        <v>2.0206999999999997</v>
      </c>
      <c r="I168" s="171" t="s">
        <v>671</v>
      </c>
      <c r="J168" s="57">
        <v>1</v>
      </c>
      <c r="K168" s="172">
        <v>2021</v>
      </c>
      <c r="L168" s="173" t="s">
        <v>1303</v>
      </c>
      <c r="M168" s="173" t="s">
        <v>1304</v>
      </c>
      <c r="N168" s="174" t="s">
        <v>1305</v>
      </c>
      <c r="O168" s="171" t="s">
        <v>1306</v>
      </c>
      <c r="P168" s="171" t="s">
        <v>1307</v>
      </c>
      <c r="Q168" s="209">
        <v>1975</v>
      </c>
      <c r="R168" s="171">
        <v>4</v>
      </c>
      <c r="S168" s="171"/>
      <c r="T168" s="173"/>
      <c r="U168" s="171"/>
      <c r="V168" s="171"/>
      <c r="W168" s="171"/>
      <c r="X168" s="57">
        <v>0</v>
      </c>
      <c r="Y168" s="172">
        <v>2</v>
      </c>
      <c r="Z168" s="175" t="s">
        <v>1256</v>
      </c>
      <c r="AA168" s="176">
        <v>2021</v>
      </c>
      <c r="AB168" s="176">
        <v>8</v>
      </c>
      <c r="AC168" s="176">
        <v>5</v>
      </c>
      <c r="AD168" s="177" t="b">
        <f>IF(ISBLANK(GroupMember[[#This Row],[1. Identifiant interne d’exploitation agricole*]]),"",IF(ISERROR(MATCH(GroupMember[[#This Row],[1. Identifiant interne d’exploitation agricole*]],CertifiedCrop[1. Identifiant interne d’exploitation agricole*],0)),FALSE,TRUE))</f>
        <v>1</v>
      </c>
      <c r="AE168" s="177" t="b">
        <f>IF(ISBLANK(GroupMember[[#This Row],[1. Identifiant interne d’exploitation agricole*]]),"",IF(ISERROR(MATCH(GroupMember[[#This Row],[1. Identifiant interne d’exploitation agricole*]],FarmUnit[1. Identifiant interne d’exploitation agricole*],0)),FALSE,TRUE))</f>
        <v>1</v>
      </c>
      <c r="AF168" s="178" t="str">
        <f t="shared" si="8"/>
        <v>LOHI  HUBERT</v>
      </c>
      <c r="AG168" s="179" t="str">
        <f t="shared" si="9"/>
        <v>5/8/2021</v>
      </c>
      <c r="AH168" s="180">
        <f t="shared" si="11"/>
        <v>2</v>
      </c>
      <c r="AI168" s="181">
        <f t="shared" si="10"/>
        <v>0.16666666666666666</v>
      </c>
    </row>
    <row r="169" spans="1:35" ht="15">
      <c r="A169" s="170" t="s">
        <v>1308</v>
      </c>
      <c r="B169" s="171" t="s">
        <v>1308</v>
      </c>
      <c r="C169" s="171" t="s">
        <v>1308</v>
      </c>
      <c r="D169" s="171" t="s">
        <v>1251</v>
      </c>
      <c r="E169" s="171" t="s">
        <v>668</v>
      </c>
      <c r="F169" s="171" t="s">
        <v>669</v>
      </c>
      <c r="G169" s="171" t="s">
        <v>670</v>
      </c>
      <c r="H169" s="195">
        <v>2.1981999999999999</v>
      </c>
      <c r="I169" s="171" t="s">
        <v>671</v>
      </c>
      <c r="J169" s="57">
        <v>1</v>
      </c>
      <c r="K169" s="172">
        <v>2021</v>
      </c>
      <c r="L169" s="173" t="s">
        <v>1303</v>
      </c>
      <c r="M169" s="173" t="s">
        <v>1309</v>
      </c>
      <c r="N169" s="174" t="s">
        <v>1310</v>
      </c>
      <c r="O169" s="171" t="s">
        <v>1311</v>
      </c>
      <c r="P169" s="171" t="s">
        <v>675</v>
      </c>
      <c r="Q169" s="209">
        <v>1972</v>
      </c>
      <c r="R169" s="171">
        <v>4</v>
      </c>
      <c r="S169" s="171"/>
      <c r="T169" s="173"/>
      <c r="U169" s="171"/>
      <c r="V169" s="171"/>
      <c r="W169" s="171"/>
      <c r="X169" s="57">
        <v>0</v>
      </c>
      <c r="Y169" s="172">
        <v>2</v>
      </c>
      <c r="Z169" s="175" t="s">
        <v>1256</v>
      </c>
      <c r="AA169" s="176">
        <v>2021</v>
      </c>
      <c r="AB169" s="176">
        <v>7</v>
      </c>
      <c r="AC169" s="176">
        <v>8</v>
      </c>
      <c r="AD169" s="177" t="b">
        <f>IF(ISBLANK(GroupMember[[#This Row],[1. Identifiant interne d’exploitation agricole*]]),"",IF(ISERROR(MATCH(GroupMember[[#This Row],[1. Identifiant interne d’exploitation agricole*]],CertifiedCrop[1. Identifiant interne d’exploitation agricole*],0)),FALSE,TRUE))</f>
        <v>1</v>
      </c>
      <c r="AE169" s="177" t="b">
        <f>IF(ISBLANK(GroupMember[[#This Row],[1. Identifiant interne d’exploitation agricole*]]),"",IF(ISERROR(MATCH(GroupMember[[#This Row],[1. Identifiant interne d’exploitation agricole*]],FarmUnit[1. Identifiant interne d’exploitation agricole*],0)),FALSE,TRUE))</f>
        <v>1</v>
      </c>
      <c r="AF169" s="178" t="str">
        <f t="shared" si="8"/>
        <v>LOHI  JONAS</v>
      </c>
      <c r="AG169" s="179" t="str">
        <f t="shared" si="9"/>
        <v>8/7/2021</v>
      </c>
      <c r="AH169" s="180">
        <f t="shared" si="11"/>
        <v>6</v>
      </c>
      <c r="AI169" s="181">
        <f t="shared" si="10"/>
        <v>0.16666666666666666</v>
      </c>
    </row>
    <row r="170" spans="1:35" ht="15">
      <c r="A170" s="170" t="s">
        <v>1312</v>
      </c>
      <c r="B170" s="171" t="s">
        <v>1312</v>
      </c>
      <c r="C170" s="171" t="s">
        <v>1312</v>
      </c>
      <c r="D170" s="171" t="s">
        <v>1251</v>
      </c>
      <c r="E170" s="171" t="s">
        <v>668</v>
      </c>
      <c r="F170" s="171" t="s">
        <v>669</v>
      </c>
      <c r="G170" s="171" t="s">
        <v>670</v>
      </c>
      <c r="H170" s="195">
        <v>2.125</v>
      </c>
      <c r="I170" s="171" t="s">
        <v>671</v>
      </c>
      <c r="J170" s="57">
        <v>1</v>
      </c>
      <c r="K170" s="172">
        <v>2021</v>
      </c>
      <c r="L170" s="173" t="s">
        <v>1313</v>
      </c>
      <c r="M170" s="173" t="s">
        <v>1314</v>
      </c>
      <c r="N170" s="174" t="s">
        <v>1315</v>
      </c>
      <c r="O170" s="57" t="s">
        <v>2527</v>
      </c>
      <c r="P170" s="171" t="s">
        <v>675</v>
      </c>
      <c r="Q170" s="209">
        <v>1999</v>
      </c>
      <c r="R170" s="171">
        <v>9</v>
      </c>
      <c r="S170" s="171"/>
      <c r="T170" s="173"/>
      <c r="U170" s="171"/>
      <c r="V170" s="171"/>
      <c r="W170" s="171"/>
      <c r="X170" s="57">
        <v>0</v>
      </c>
      <c r="Y170" s="172">
        <v>2</v>
      </c>
      <c r="Z170" s="175" t="s">
        <v>1256</v>
      </c>
      <c r="AA170" s="176">
        <v>2021</v>
      </c>
      <c r="AB170" s="176">
        <v>8</v>
      </c>
      <c r="AC170" s="176">
        <v>24</v>
      </c>
      <c r="AD170" s="177" t="b">
        <f>IF(ISBLANK(GroupMember[[#This Row],[1. Identifiant interne d’exploitation agricole*]]),"",IF(ISERROR(MATCH(GroupMember[[#This Row],[1. Identifiant interne d’exploitation agricole*]],CertifiedCrop[1. Identifiant interne d’exploitation agricole*],0)),FALSE,TRUE))</f>
        <v>1</v>
      </c>
      <c r="AE170" s="177" t="b">
        <f>IF(ISBLANK(GroupMember[[#This Row],[1. Identifiant interne d’exploitation agricole*]]),"",IF(ISERROR(MATCH(GroupMember[[#This Row],[1. Identifiant interne d’exploitation agricole*]],FarmUnit[1. Identifiant interne d’exploitation agricole*],0)),FALSE,TRUE))</f>
        <v>1</v>
      </c>
      <c r="AF170" s="178" t="str">
        <f t="shared" si="8"/>
        <v>SANOGO NAMA</v>
      </c>
      <c r="AG170" s="179" t="str">
        <f t="shared" si="9"/>
        <v>24/8/2021</v>
      </c>
      <c r="AH170" s="180">
        <f t="shared" si="11"/>
        <v>6</v>
      </c>
      <c r="AI170" s="181">
        <f t="shared" si="10"/>
        <v>0.16666666666666666</v>
      </c>
    </row>
    <row r="171" spans="1:35" ht="15">
      <c r="A171" s="170" t="s">
        <v>1316</v>
      </c>
      <c r="B171" s="171" t="s">
        <v>1316</v>
      </c>
      <c r="C171" s="171" t="s">
        <v>1316</v>
      </c>
      <c r="D171" s="171" t="s">
        <v>1251</v>
      </c>
      <c r="E171" s="171" t="s">
        <v>668</v>
      </c>
      <c r="F171" s="171" t="s">
        <v>669</v>
      </c>
      <c r="G171" s="171" t="s">
        <v>670</v>
      </c>
      <c r="H171" s="195">
        <v>3.4741</v>
      </c>
      <c r="I171" s="171" t="s">
        <v>671</v>
      </c>
      <c r="J171" s="57">
        <v>1</v>
      </c>
      <c r="K171" s="172">
        <v>2021</v>
      </c>
      <c r="L171" s="173" t="s">
        <v>1298</v>
      </c>
      <c r="M171" s="173" t="s">
        <v>1317</v>
      </c>
      <c r="N171" s="174" t="s">
        <v>1318</v>
      </c>
      <c r="O171" s="171" t="s">
        <v>1319</v>
      </c>
      <c r="P171" s="171" t="s">
        <v>675</v>
      </c>
      <c r="Q171" s="210">
        <v>11987</v>
      </c>
      <c r="R171" s="171">
        <v>5</v>
      </c>
      <c r="S171" s="171"/>
      <c r="T171" s="173"/>
      <c r="U171" s="171"/>
      <c r="V171" s="171"/>
      <c r="W171" s="171"/>
      <c r="X171" s="57">
        <v>0</v>
      </c>
      <c r="Y171" s="172">
        <v>2</v>
      </c>
      <c r="Z171" s="175" t="s">
        <v>1256</v>
      </c>
      <c r="AA171" s="176">
        <v>2021</v>
      </c>
      <c r="AB171" s="176">
        <v>8</v>
      </c>
      <c r="AC171" s="176">
        <v>3</v>
      </c>
      <c r="AD171" s="177" t="b">
        <f>IF(ISBLANK(GroupMember[[#This Row],[1. Identifiant interne d’exploitation agricole*]]),"",IF(ISERROR(MATCH(GroupMember[[#This Row],[1. Identifiant interne d’exploitation agricole*]],CertifiedCrop[1. Identifiant interne d’exploitation agricole*],0)),FALSE,TRUE))</f>
        <v>1</v>
      </c>
      <c r="AE171" s="177" t="b">
        <f>IF(ISBLANK(GroupMember[[#This Row],[1. Identifiant interne d’exploitation agricole*]]),"",IF(ISERROR(MATCH(GroupMember[[#This Row],[1. Identifiant interne d’exploitation agricole*]],FarmUnit[1. Identifiant interne d’exploitation agricole*],0)),FALSE,TRUE))</f>
        <v>1</v>
      </c>
      <c r="AF171" s="178" t="str">
        <f t="shared" si="8"/>
        <v>KOFFI KOUAME BRAHIMAN</v>
      </c>
      <c r="AG171" s="179" t="str">
        <f t="shared" si="9"/>
        <v>3/8/2021</v>
      </c>
      <c r="AH171" s="180">
        <f t="shared" si="11"/>
        <v>5</v>
      </c>
      <c r="AI171" s="181">
        <f t="shared" si="10"/>
        <v>0.16666666666666666</v>
      </c>
    </row>
    <row r="172" spans="1:35" ht="15">
      <c r="A172" s="170" t="s">
        <v>1320</v>
      </c>
      <c r="B172" s="171" t="s">
        <v>1320</v>
      </c>
      <c r="C172" s="171" t="s">
        <v>1320</v>
      </c>
      <c r="D172" s="171" t="s">
        <v>1251</v>
      </c>
      <c r="E172" s="171" t="s">
        <v>668</v>
      </c>
      <c r="F172" s="171" t="s">
        <v>669</v>
      </c>
      <c r="G172" s="171" t="s">
        <v>670</v>
      </c>
      <c r="H172" s="195">
        <v>2.2532000000000001</v>
      </c>
      <c r="I172" s="171" t="s">
        <v>671</v>
      </c>
      <c r="J172" s="57">
        <v>1</v>
      </c>
      <c r="K172" s="172">
        <v>2021</v>
      </c>
      <c r="L172" s="173" t="s">
        <v>1321</v>
      </c>
      <c r="M172" s="173" t="s">
        <v>1322</v>
      </c>
      <c r="N172" s="174" t="s">
        <v>1323</v>
      </c>
      <c r="O172" s="171" t="s">
        <v>1324</v>
      </c>
      <c r="P172" s="171" t="s">
        <v>675</v>
      </c>
      <c r="Q172" s="209">
        <v>1988</v>
      </c>
      <c r="R172" s="171">
        <v>4</v>
      </c>
      <c r="S172" s="171"/>
      <c r="T172" s="173"/>
      <c r="U172" s="171"/>
      <c r="V172" s="171"/>
      <c r="W172" s="171"/>
      <c r="X172" s="57">
        <v>0</v>
      </c>
      <c r="Y172" s="172">
        <v>2</v>
      </c>
      <c r="Z172" s="175" t="s">
        <v>1256</v>
      </c>
      <c r="AA172" s="176">
        <v>2021</v>
      </c>
      <c r="AB172" s="176">
        <v>7</v>
      </c>
      <c r="AC172" s="176">
        <v>22</v>
      </c>
      <c r="AD172" s="177" t="b">
        <f>IF(ISBLANK(GroupMember[[#This Row],[1. Identifiant interne d’exploitation agricole*]]),"",IF(ISERROR(MATCH(GroupMember[[#This Row],[1. Identifiant interne d’exploitation agricole*]],CertifiedCrop[1. Identifiant interne d’exploitation agricole*],0)),FALSE,TRUE))</f>
        <v>1</v>
      </c>
      <c r="AE172" s="177" t="b">
        <f>IF(ISBLANK(GroupMember[[#This Row],[1. Identifiant interne d’exploitation agricole*]]),"",IF(ISERROR(MATCH(GroupMember[[#This Row],[1. Identifiant interne d’exploitation agricole*]],FarmUnit[1. Identifiant interne d’exploitation agricole*],0)),FALSE,TRUE))</f>
        <v>1</v>
      </c>
      <c r="AF172" s="178" t="str">
        <f t="shared" si="8"/>
        <v>BRAHIMA KOUAKOU SIAKA</v>
      </c>
      <c r="AG172" s="179" t="str">
        <f t="shared" si="9"/>
        <v>22/7/2021</v>
      </c>
      <c r="AH172" s="180">
        <f t="shared" si="11"/>
        <v>5</v>
      </c>
      <c r="AI172" s="181">
        <f t="shared" si="10"/>
        <v>0.16666666666666666</v>
      </c>
    </row>
    <row r="173" spans="1:35" ht="15">
      <c r="A173" s="170" t="s">
        <v>1325</v>
      </c>
      <c r="B173" s="171" t="s">
        <v>1325</v>
      </c>
      <c r="C173" s="171" t="s">
        <v>1325</v>
      </c>
      <c r="D173" s="171" t="s">
        <v>1251</v>
      </c>
      <c r="E173" s="171" t="s">
        <v>668</v>
      </c>
      <c r="F173" s="171" t="s">
        <v>669</v>
      </c>
      <c r="G173" s="171" t="s">
        <v>670</v>
      </c>
      <c r="H173" s="195">
        <v>2.4329000000000001</v>
      </c>
      <c r="I173" s="171" t="s">
        <v>671</v>
      </c>
      <c r="J173" s="57">
        <v>1</v>
      </c>
      <c r="K173" s="172">
        <v>2021</v>
      </c>
      <c r="L173" s="173" t="s">
        <v>1326</v>
      </c>
      <c r="M173" s="173" t="s">
        <v>1327</v>
      </c>
      <c r="N173" s="174" t="s">
        <v>1328</v>
      </c>
      <c r="O173" s="171" t="s">
        <v>1329</v>
      </c>
      <c r="P173" s="171" t="s">
        <v>675</v>
      </c>
      <c r="Q173" s="209">
        <v>1979</v>
      </c>
      <c r="R173" s="171">
        <v>4</v>
      </c>
      <c r="S173" s="171"/>
      <c r="T173" s="173"/>
      <c r="U173" s="171"/>
      <c r="V173" s="171"/>
      <c r="W173" s="171"/>
      <c r="X173" s="57">
        <v>0</v>
      </c>
      <c r="Y173" s="172">
        <v>2</v>
      </c>
      <c r="Z173" s="175" t="s">
        <v>1256</v>
      </c>
      <c r="AA173" s="176">
        <v>2021</v>
      </c>
      <c r="AB173" s="176">
        <v>8</v>
      </c>
      <c r="AC173" s="176">
        <v>19</v>
      </c>
      <c r="AD173" s="177" t="b">
        <f>IF(ISBLANK(GroupMember[[#This Row],[1. Identifiant interne d’exploitation agricole*]]),"",IF(ISERROR(MATCH(GroupMember[[#This Row],[1. Identifiant interne d’exploitation agricole*]],CertifiedCrop[1. Identifiant interne d’exploitation agricole*],0)),FALSE,TRUE))</f>
        <v>1</v>
      </c>
      <c r="AE173" s="177" t="b">
        <f>IF(ISBLANK(GroupMember[[#This Row],[1. Identifiant interne d’exploitation agricole*]]),"",IF(ISERROR(MATCH(GroupMember[[#This Row],[1. Identifiant interne d’exploitation agricole*]],FarmUnit[1. Identifiant interne d’exploitation agricole*],0)),FALSE,TRUE))</f>
        <v>1</v>
      </c>
      <c r="AF173" s="178" t="str">
        <f t="shared" si="8"/>
        <v>KOUI BERTRAND</v>
      </c>
      <c r="AG173" s="179" t="str">
        <f t="shared" si="9"/>
        <v>19/8/2021</v>
      </c>
      <c r="AH173" s="180">
        <f t="shared" si="11"/>
        <v>5</v>
      </c>
      <c r="AI173" s="181">
        <f t="shared" si="10"/>
        <v>0.16666666666666666</v>
      </c>
    </row>
    <row r="174" spans="1:35" ht="15">
      <c r="A174" s="170" t="s">
        <v>1330</v>
      </c>
      <c r="B174" s="171" t="s">
        <v>1330</v>
      </c>
      <c r="C174" s="171" t="s">
        <v>1330</v>
      </c>
      <c r="D174" s="171" t="s">
        <v>1251</v>
      </c>
      <c r="E174" s="171" t="s">
        <v>668</v>
      </c>
      <c r="F174" s="171" t="s">
        <v>669</v>
      </c>
      <c r="G174" s="171" t="s">
        <v>670</v>
      </c>
      <c r="H174" s="195">
        <v>2.6071999999999997</v>
      </c>
      <c r="I174" s="171" t="s">
        <v>671</v>
      </c>
      <c r="J174" s="57">
        <v>1</v>
      </c>
      <c r="K174" s="172">
        <v>2021</v>
      </c>
      <c r="L174" s="173" t="s">
        <v>1252</v>
      </c>
      <c r="M174" s="173" t="s">
        <v>1309</v>
      </c>
      <c r="N174" s="174" t="s">
        <v>1331</v>
      </c>
      <c r="O174" s="171" t="s">
        <v>2528</v>
      </c>
      <c r="P174" s="171" t="s">
        <v>675</v>
      </c>
      <c r="Q174" s="209">
        <v>1993</v>
      </c>
      <c r="R174" s="171">
        <v>7</v>
      </c>
      <c r="S174" s="171"/>
      <c r="T174" s="173"/>
      <c r="U174" s="171"/>
      <c r="V174" s="171"/>
      <c r="W174" s="171"/>
      <c r="X174" s="57">
        <v>0</v>
      </c>
      <c r="Y174" s="172">
        <v>2</v>
      </c>
      <c r="Z174" s="175" t="s">
        <v>1256</v>
      </c>
      <c r="AA174" s="176">
        <v>2021</v>
      </c>
      <c r="AB174" s="176">
        <v>7</v>
      </c>
      <c r="AC174" s="176">
        <v>26</v>
      </c>
      <c r="AD174" s="177" t="b">
        <f>IF(ISBLANK(GroupMember[[#This Row],[1. Identifiant interne d’exploitation agricole*]]),"",IF(ISERROR(MATCH(GroupMember[[#This Row],[1. Identifiant interne d’exploitation agricole*]],CertifiedCrop[1. Identifiant interne d’exploitation agricole*],0)),FALSE,TRUE))</f>
        <v>1</v>
      </c>
      <c r="AE174" s="177" t="b">
        <f>IF(ISBLANK(GroupMember[[#This Row],[1. Identifiant interne d’exploitation agricole*]]),"",IF(ISERROR(MATCH(GroupMember[[#This Row],[1. Identifiant interne d’exploitation agricole*]],FarmUnit[1. Identifiant interne d’exploitation agricole*],0)),FALSE,TRUE))</f>
        <v>1</v>
      </c>
      <c r="AF174" s="178" t="str">
        <f t="shared" si="8"/>
        <v>OULAI JONAS</v>
      </c>
      <c r="AG174" s="179" t="str">
        <f t="shared" si="9"/>
        <v>26/7/2021</v>
      </c>
      <c r="AH174" s="180">
        <f t="shared" si="11"/>
        <v>4</v>
      </c>
      <c r="AI174" s="181">
        <f t="shared" si="10"/>
        <v>0.16666666666666666</v>
      </c>
    </row>
    <row r="175" spans="1:35" ht="15">
      <c r="A175" s="170" t="s">
        <v>1332</v>
      </c>
      <c r="B175" s="171" t="s">
        <v>1332</v>
      </c>
      <c r="C175" s="171" t="s">
        <v>1332</v>
      </c>
      <c r="D175" s="171" t="s">
        <v>1251</v>
      </c>
      <c r="E175" s="171" t="s">
        <v>668</v>
      </c>
      <c r="F175" s="171" t="s">
        <v>669</v>
      </c>
      <c r="G175" s="171" t="s">
        <v>670</v>
      </c>
      <c r="H175" s="195">
        <v>5.8788</v>
      </c>
      <c r="I175" s="171" t="s">
        <v>671</v>
      </c>
      <c r="J175" s="57">
        <v>1</v>
      </c>
      <c r="K175" s="172">
        <v>2021</v>
      </c>
      <c r="L175" s="173" t="s">
        <v>1252</v>
      </c>
      <c r="M175" s="173" t="s">
        <v>1333</v>
      </c>
      <c r="N175" s="174" t="s">
        <v>1334</v>
      </c>
      <c r="O175" s="171" t="s">
        <v>1335</v>
      </c>
      <c r="P175" s="171" t="s">
        <v>720</v>
      </c>
      <c r="Q175" s="209">
        <v>1962</v>
      </c>
      <c r="R175" s="171">
        <v>6</v>
      </c>
      <c r="S175" s="171"/>
      <c r="T175" s="173"/>
      <c r="U175" s="171"/>
      <c r="V175" s="171"/>
      <c r="W175" s="171"/>
      <c r="X175" s="57">
        <v>0</v>
      </c>
      <c r="Y175" s="172">
        <v>2</v>
      </c>
      <c r="Z175" s="175" t="s">
        <v>1256</v>
      </c>
      <c r="AA175" s="176">
        <v>2021</v>
      </c>
      <c r="AB175" s="176">
        <v>8</v>
      </c>
      <c r="AC175" s="176">
        <v>10</v>
      </c>
      <c r="AD175" s="177" t="b">
        <f>IF(ISBLANK(GroupMember[[#This Row],[1. Identifiant interne d’exploitation agricole*]]),"",IF(ISERROR(MATCH(GroupMember[[#This Row],[1. Identifiant interne d’exploitation agricole*]],CertifiedCrop[1. Identifiant interne d’exploitation agricole*],0)),FALSE,TRUE))</f>
        <v>1</v>
      </c>
      <c r="AE175" s="177" t="b">
        <f>IF(ISBLANK(GroupMember[[#This Row],[1. Identifiant interne d’exploitation agricole*]]),"",IF(ISERROR(MATCH(GroupMember[[#This Row],[1. Identifiant interne d’exploitation agricole*]],FarmUnit[1. Identifiant interne d’exploitation agricole*],0)),FALSE,TRUE))</f>
        <v>1</v>
      </c>
      <c r="AF175" s="178" t="str">
        <f t="shared" si="8"/>
        <v>OULAI BLEU MARINE</v>
      </c>
      <c r="AG175" s="179" t="str">
        <f t="shared" si="9"/>
        <v>10/8/2021</v>
      </c>
      <c r="AH175" s="180">
        <f t="shared" si="11"/>
        <v>4</v>
      </c>
      <c r="AI175" s="181">
        <f t="shared" si="10"/>
        <v>0.16666666666666666</v>
      </c>
    </row>
    <row r="176" spans="1:35" ht="15">
      <c r="A176" s="170" t="s">
        <v>1336</v>
      </c>
      <c r="B176" s="171" t="s">
        <v>1336</v>
      </c>
      <c r="C176" s="171" t="s">
        <v>1336</v>
      </c>
      <c r="D176" s="171" t="s">
        <v>1251</v>
      </c>
      <c r="E176" s="171" t="s">
        <v>668</v>
      </c>
      <c r="F176" s="171" t="s">
        <v>669</v>
      </c>
      <c r="G176" s="171" t="s">
        <v>670</v>
      </c>
      <c r="H176" s="195">
        <v>1.7461</v>
      </c>
      <c r="I176" s="171" t="s">
        <v>671</v>
      </c>
      <c r="J176" s="57">
        <v>1</v>
      </c>
      <c r="K176" s="172">
        <v>2021</v>
      </c>
      <c r="L176" s="173" t="s">
        <v>1337</v>
      </c>
      <c r="M176" s="173" t="s">
        <v>1338</v>
      </c>
      <c r="N176" s="174" t="s">
        <v>1339</v>
      </c>
      <c r="O176" s="171" t="s">
        <v>2529</v>
      </c>
      <c r="P176" s="171" t="s">
        <v>675</v>
      </c>
      <c r="Q176" s="209">
        <v>1970</v>
      </c>
      <c r="R176" s="171">
        <v>8</v>
      </c>
      <c r="S176" s="171"/>
      <c r="T176" s="173"/>
      <c r="U176" s="171"/>
      <c r="V176" s="171"/>
      <c r="W176" s="171"/>
      <c r="X176" s="57">
        <v>0</v>
      </c>
      <c r="Y176" s="172">
        <v>2</v>
      </c>
      <c r="Z176" s="175" t="s">
        <v>1256</v>
      </c>
      <c r="AA176" s="176">
        <v>2021</v>
      </c>
      <c r="AB176" s="176">
        <v>7</v>
      </c>
      <c r="AC176" s="176">
        <v>12</v>
      </c>
      <c r="AD176" s="177" t="b">
        <f>IF(ISBLANK(GroupMember[[#This Row],[1. Identifiant interne d’exploitation agricole*]]),"",IF(ISERROR(MATCH(GroupMember[[#This Row],[1. Identifiant interne d’exploitation agricole*]],CertifiedCrop[1. Identifiant interne d’exploitation agricole*],0)),FALSE,TRUE))</f>
        <v>1</v>
      </c>
      <c r="AE176" s="177" t="b">
        <f>IF(ISBLANK(GroupMember[[#This Row],[1. Identifiant interne d’exploitation agricole*]]),"",IF(ISERROR(MATCH(GroupMember[[#This Row],[1. Identifiant interne d’exploitation agricole*]],FarmUnit[1. Identifiant interne d’exploitation agricole*],0)),FALSE,TRUE))</f>
        <v>1</v>
      </c>
      <c r="AF176" s="178" t="str">
        <f t="shared" si="8"/>
        <v>TIEMOKO JEREMI</v>
      </c>
      <c r="AG176" s="179" t="str">
        <f t="shared" si="9"/>
        <v>12/7/2021</v>
      </c>
      <c r="AH176" s="180">
        <f t="shared" si="11"/>
        <v>5</v>
      </c>
      <c r="AI176" s="181">
        <f t="shared" si="10"/>
        <v>0.16666666666666666</v>
      </c>
    </row>
    <row r="177" spans="1:35" ht="15">
      <c r="A177" s="170" t="s">
        <v>1340</v>
      </c>
      <c r="B177" s="171" t="s">
        <v>1340</v>
      </c>
      <c r="C177" s="171" t="s">
        <v>1340</v>
      </c>
      <c r="D177" s="171" t="s">
        <v>1251</v>
      </c>
      <c r="E177" s="171" t="s">
        <v>668</v>
      </c>
      <c r="F177" s="171" t="s">
        <v>669</v>
      </c>
      <c r="G177" s="171" t="s">
        <v>670</v>
      </c>
      <c r="H177" s="195">
        <v>1.7225999999999999</v>
      </c>
      <c r="I177" s="171" t="s">
        <v>671</v>
      </c>
      <c r="J177" s="57">
        <v>1</v>
      </c>
      <c r="K177" s="172">
        <v>2021</v>
      </c>
      <c r="L177" s="173" t="s">
        <v>1341</v>
      </c>
      <c r="M177" s="173" t="s">
        <v>1342</v>
      </c>
      <c r="N177" s="174" t="s">
        <v>1343</v>
      </c>
      <c r="O177" s="171" t="s">
        <v>2530</v>
      </c>
      <c r="P177" s="171" t="s">
        <v>675</v>
      </c>
      <c r="Q177" s="209">
        <v>1980</v>
      </c>
      <c r="R177" s="171">
        <v>7</v>
      </c>
      <c r="S177" s="171"/>
      <c r="T177" s="173"/>
      <c r="U177" s="171"/>
      <c r="V177" s="171"/>
      <c r="W177" s="171"/>
      <c r="X177" s="57">
        <v>0</v>
      </c>
      <c r="Y177" s="172">
        <v>2</v>
      </c>
      <c r="Z177" s="175" t="s">
        <v>1256</v>
      </c>
      <c r="AA177" s="176">
        <v>2021</v>
      </c>
      <c r="AB177" s="176">
        <v>8</v>
      </c>
      <c r="AC177" s="176">
        <v>19</v>
      </c>
      <c r="AD177" s="177" t="b">
        <f>IF(ISBLANK(GroupMember[[#This Row],[1. Identifiant interne d’exploitation agricole*]]),"",IF(ISERROR(MATCH(GroupMember[[#This Row],[1. Identifiant interne d’exploitation agricole*]],CertifiedCrop[1. Identifiant interne d’exploitation agricole*],0)),FALSE,TRUE))</f>
        <v>1</v>
      </c>
      <c r="AE177" s="177" t="b">
        <f>IF(ISBLANK(GroupMember[[#This Row],[1. Identifiant interne d’exploitation agricole*]]),"",IF(ISERROR(MATCH(GroupMember[[#This Row],[1. Identifiant interne d’exploitation agricole*]],FarmUnit[1. Identifiant interne d’exploitation agricole*],0)),FALSE,TRUE))</f>
        <v>1</v>
      </c>
      <c r="AF177" s="178" t="str">
        <f t="shared" si="8"/>
        <v>PALE SIE</v>
      </c>
      <c r="AG177" s="179" t="str">
        <f t="shared" si="9"/>
        <v>19/8/2021</v>
      </c>
      <c r="AH177" s="180">
        <f t="shared" si="11"/>
        <v>5</v>
      </c>
      <c r="AI177" s="181">
        <f t="shared" si="10"/>
        <v>0.16666666666666666</v>
      </c>
    </row>
    <row r="178" spans="1:35" ht="15">
      <c r="A178" s="170" t="s">
        <v>1344</v>
      </c>
      <c r="B178" s="171" t="s">
        <v>1344</v>
      </c>
      <c r="C178" s="171" t="s">
        <v>1344</v>
      </c>
      <c r="D178" s="171" t="s">
        <v>1251</v>
      </c>
      <c r="E178" s="171" t="s">
        <v>668</v>
      </c>
      <c r="F178" s="171" t="s">
        <v>669</v>
      </c>
      <c r="G178" s="171" t="s">
        <v>670</v>
      </c>
      <c r="H178" s="195">
        <v>4.4203000000000001</v>
      </c>
      <c r="I178" s="171" t="s">
        <v>671</v>
      </c>
      <c r="J178" s="57">
        <v>1</v>
      </c>
      <c r="K178" s="172">
        <v>2021</v>
      </c>
      <c r="L178" s="173" t="s">
        <v>1345</v>
      </c>
      <c r="M178" s="173" t="s">
        <v>1346</v>
      </c>
      <c r="N178" s="174" t="s">
        <v>1347</v>
      </c>
      <c r="O178" s="171" t="s">
        <v>2531</v>
      </c>
      <c r="P178" s="171" t="s">
        <v>675</v>
      </c>
      <c r="Q178" s="209">
        <v>1971</v>
      </c>
      <c r="R178" s="171">
        <v>5</v>
      </c>
      <c r="S178" s="171"/>
      <c r="T178" s="173"/>
      <c r="U178" s="171"/>
      <c r="V178" s="171"/>
      <c r="W178" s="171"/>
      <c r="X178" s="57">
        <v>0</v>
      </c>
      <c r="Y178" s="172">
        <v>2</v>
      </c>
      <c r="Z178" s="175" t="s">
        <v>1256</v>
      </c>
      <c r="AA178" s="176">
        <v>2021</v>
      </c>
      <c r="AB178" s="176">
        <v>7</v>
      </c>
      <c r="AC178" s="176">
        <v>13</v>
      </c>
      <c r="AD178" s="177" t="b">
        <f>IF(ISBLANK(GroupMember[[#This Row],[1. Identifiant interne d’exploitation agricole*]]),"",IF(ISERROR(MATCH(GroupMember[[#This Row],[1. Identifiant interne d’exploitation agricole*]],CertifiedCrop[1. Identifiant interne d’exploitation agricole*],0)),FALSE,TRUE))</f>
        <v>1</v>
      </c>
      <c r="AE178" s="177" t="b">
        <f>IF(ISBLANK(GroupMember[[#This Row],[1. Identifiant interne d’exploitation agricole*]]),"",IF(ISERROR(MATCH(GroupMember[[#This Row],[1. Identifiant interne d’exploitation agricole*]],FarmUnit[1. Identifiant interne d’exploitation agricole*],0)),FALSE,TRUE))</f>
        <v>1</v>
      </c>
      <c r="AF178" s="178" t="str">
        <f t="shared" si="8"/>
        <v>GBONGUE VINCENT</v>
      </c>
      <c r="AG178" s="179" t="str">
        <f t="shared" si="9"/>
        <v>13/7/2021</v>
      </c>
      <c r="AH178" s="180">
        <f t="shared" si="11"/>
        <v>4</v>
      </c>
      <c r="AI178" s="181">
        <f t="shared" si="10"/>
        <v>0.16666666666666666</v>
      </c>
    </row>
    <row r="179" spans="1:35" ht="15">
      <c r="A179" s="170" t="s">
        <v>1348</v>
      </c>
      <c r="B179" s="171" t="s">
        <v>1348</v>
      </c>
      <c r="C179" s="171" t="s">
        <v>1348</v>
      </c>
      <c r="D179" s="171" t="s">
        <v>1251</v>
      </c>
      <c r="E179" s="171" t="s">
        <v>668</v>
      </c>
      <c r="F179" s="171" t="s">
        <v>669</v>
      </c>
      <c r="G179" s="171" t="s">
        <v>670</v>
      </c>
      <c r="H179" s="195">
        <v>2.9568000000000003</v>
      </c>
      <c r="I179" s="171" t="s">
        <v>671</v>
      </c>
      <c r="J179" s="57">
        <v>1</v>
      </c>
      <c r="K179" s="172">
        <v>2021</v>
      </c>
      <c r="L179" s="173" t="s">
        <v>1349</v>
      </c>
      <c r="M179" s="173" t="s">
        <v>1350</v>
      </c>
      <c r="N179" s="174" t="s">
        <v>1351</v>
      </c>
      <c r="O179" s="171" t="s">
        <v>2532</v>
      </c>
      <c r="P179" s="171" t="s">
        <v>675</v>
      </c>
      <c r="Q179" s="210">
        <v>1984</v>
      </c>
      <c r="R179" s="171">
        <v>8</v>
      </c>
      <c r="S179" s="171"/>
      <c r="T179" s="173"/>
      <c r="U179" s="171"/>
      <c r="V179" s="171"/>
      <c r="W179" s="171"/>
      <c r="X179" s="57">
        <v>0</v>
      </c>
      <c r="Y179" s="172">
        <v>2</v>
      </c>
      <c r="Z179" s="175" t="s">
        <v>1256</v>
      </c>
      <c r="AA179" s="176">
        <v>2021</v>
      </c>
      <c r="AB179" s="176">
        <v>8</v>
      </c>
      <c r="AC179" s="176">
        <v>9</v>
      </c>
      <c r="AD179" s="177" t="b">
        <f>IF(ISBLANK(GroupMember[[#This Row],[1. Identifiant interne d’exploitation agricole*]]),"",IF(ISERROR(MATCH(GroupMember[[#This Row],[1. Identifiant interne d’exploitation agricole*]],CertifiedCrop[1. Identifiant interne d’exploitation agricole*],0)),FALSE,TRUE))</f>
        <v>1</v>
      </c>
      <c r="AE179" s="177" t="b">
        <f>IF(ISBLANK(GroupMember[[#This Row],[1. Identifiant interne d’exploitation agricole*]]),"",IF(ISERROR(MATCH(GroupMember[[#This Row],[1. Identifiant interne d’exploitation agricole*]],FarmUnit[1. Identifiant interne d’exploitation agricole*],0)),FALSE,TRUE))</f>
        <v>1</v>
      </c>
      <c r="AF179" s="178" t="str">
        <f t="shared" ref="AF179:AF242" si="12">IFERROR(CONCATENATE(L179," ",M179),"")</f>
        <v>ZIO OULAI JEAN CLAUDE</v>
      </c>
      <c r="AG179" s="179" t="str">
        <f t="shared" ref="AG179:AG242" si="13">CONCATENATE(AC179,"/",AB179,"/",AA179)</f>
        <v>9/8/2021</v>
      </c>
      <c r="AH179" s="180">
        <f t="shared" si="11"/>
        <v>2</v>
      </c>
      <c r="AI179" s="181">
        <f t="shared" ref="AI179:AI242" si="14">IF((X179+Y179/12)&lt;0,"",(X179+Y179/12))</f>
        <v>0.16666666666666666</v>
      </c>
    </row>
    <row r="180" spans="1:35" ht="15">
      <c r="A180" s="170" t="s">
        <v>1352</v>
      </c>
      <c r="B180" s="171" t="s">
        <v>1352</v>
      </c>
      <c r="C180" s="171" t="s">
        <v>1352</v>
      </c>
      <c r="D180" s="171" t="s">
        <v>1251</v>
      </c>
      <c r="E180" s="171" t="s">
        <v>668</v>
      </c>
      <c r="F180" s="171" t="s">
        <v>669</v>
      </c>
      <c r="G180" s="171" t="s">
        <v>670</v>
      </c>
      <c r="H180" s="195">
        <v>2</v>
      </c>
      <c r="I180" s="171" t="s">
        <v>671</v>
      </c>
      <c r="J180" s="57">
        <v>1</v>
      </c>
      <c r="K180" s="172">
        <v>2021</v>
      </c>
      <c r="L180" s="194" t="s">
        <v>1356</v>
      </c>
      <c r="M180" s="173" t="s">
        <v>712</v>
      </c>
      <c r="N180" s="174" t="s">
        <v>1353</v>
      </c>
      <c r="O180" s="171" t="s">
        <v>1354</v>
      </c>
      <c r="P180" s="171" t="s">
        <v>675</v>
      </c>
      <c r="Q180" s="209">
        <v>1966</v>
      </c>
      <c r="R180" s="171">
        <v>7</v>
      </c>
      <c r="S180" s="171"/>
      <c r="T180" s="173"/>
      <c r="U180" s="171"/>
      <c r="V180" s="171"/>
      <c r="W180" s="171"/>
      <c r="X180" s="57">
        <v>0</v>
      </c>
      <c r="Y180" s="172">
        <v>2</v>
      </c>
      <c r="Z180" s="175" t="s">
        <v>1256</v>
      </c>
      <c r="AA180" s="176">
        <v>2021</v>
      </c>
      <c r="AB180" s="176">
        <v>8</v>
      </c>
      <c r="AC180" s="176">
        <v>16</v>
      </c>
      <c r="AD180" s="177" t="b">
        <f>IF(ISBLANK(GroupMember[[#This Row],[1. Identifiant interne d’exploitation agricole*]]),"",IF(ISERROR(MATCH(GroupMember[[#This Row],[1. Identifiant interne d’exploitation agricole*]],CertifiedCrop[1. Identifiant interne d’exploitation agricole*],0)),FALSE,TRUE))</f>
        <v>1</v>
      </c>
      <c r="AE180" s="177" t="b">
        <f>IF(ISBLANK(GroupMember[[#This Row],[1. Identifiant interne d’exploitation agricole*]]),"",IF(ISERROR(MATCH(GroupMember[[#This Row],[1. Identifiant interne d’exploitation agricole*]],FarmUnit[1. Identifiant interne d’exploitation agricole*],0)),FALSE,TRUE))</f>
        <v>1</v>
      </c>
      <c r="AF180" s="178" t="str">
        <f t="shared" si="12"/>
        <v>KPAN ALFRED</v>
      </c>
      <c r="AG180" s="179" t="str">
        <f t="shared" si="13"/>
        <v>16/8/2021</v>
      </c>
      <c r="AH180" s="180">
        <f t="shared" si="11"/>
        <v>5</v>
      </c>
      <c r="AI180" s="181">
        <f t="shared" si="14"/>
        <v>0.16666666666666666</v>
      </c>
    </row>
    <row r="181" spans="1:35" ht="15">
      <c r="A181" s="170" t="s">
        <v>1355</v>
      </c>
      <c r="B181" s="171" t="s">
        <v>1355</v>
      </c>
      <c r="C181" s="171" t="s">
        <v>1355</v>
      </c>
      <c r="D181" s="171" t="s">
        <v>1251</v>
      </c>
      <c r="E181" s="171" t="s">
        <v>668</v>
      </c>
      <c r="F181" s="171" t="s">
        <v>669</v>
      </c>
      <c r="G181" s="171" t="s">
        <v>670</v>
      </c>
      <c r="H181" s="195">
        <v>1.9376</v>
      </c>
      <c r="I181" s="171" t="s">
        <v>671</v>
      </c>
      <c r="J181" s="57">
        <v>1</v>
      </c>
      <c r="K181" s="172">
        <v>2021</v>
      </c>
      <c r="L181" s="173" t="s">
        <v>1356</v>
      </c>
      <c r="M181" s="173" t="s">
        <v>1357</v>
      </c>
      <c r="N181" s="174" t="s">
        <v>1358</v>
      </c>
      <c r="O181" s="171" t="s">
        <v>1359</v>
      </c>
      <c r="P181" s="171" t="s">
        <v>675</v>
      </c>
      <c r="Q181" s="209">
        <v>1973</v>
      </c>
      <c r="R181" s="171">
        <v>11</v>
      </c>
      <c r="S181" s="171"/>
      <c r="T181" s="173"/>
      <c r="U181" s="171"/>
      <c r="V181" s="171"/>
      <c r="W181" s="171"/>
      <c r="X181" s="57">
        <v>0</v>
      </c>
      <c r="Y181" s="172">
        <v>2</v>
      </c>
      <c r="Z181" s="175" t="s">
        <v>1256</v>
      </c>
      <c r="AA181" s="176">
        <v>2021</v>
      </c>
      <c r="AB181" s="176">
        <v>7</v>
      </c>
      <c r="AC181" s="176">
        <v>23</v>
      </c>
      <c r="AD181" s="177" t="b">
        <f>IF(ISBLANK(GroupMember[[#This Row],[1. Identifiant interne d’exploitation agricole*]]),"",IF(ISERROR(MATCH(GroupMember[[#This Row],[1. Identifiant interne d’exploitation agricole*]],CertifiedCrop[1. Identifiant interne d’exploitation agricole*],0)),FALSE,TRUE))</f>
        <v>1</v>
      </c>
      <c r="AE181" s="177" t="b">
        <f>IF(ISBLANK(GroupMember[[#This Row],[1. Identifiant interne d’exploitation agricole*]]),"",IF(ISERROR(MATCH(GroupMember[[#This Row],[1. Identifiant interne d’exploitation agricole*]],FarmUnit[1. Identifiant interne d’exploitation agricole*],0)),FALSE,TRUE))</f>
        <v>1</v>
      </c>
      <c r="AF181" s="178" t="str">
        <f t="shared" si="12"/>
        <v>KPAN SYLVESTRE</v>
      </c>
      <c r="AG181" s="179" t="str">
        <f t="shared" si="13"/>
        <v>23/7/2021</v>
      </c>
      <c r="AH181" s="180">
        <f t="shared" si="11"/>
        <v>4</v>
      </c>
      <c r="AI181" s="181">
        <f t="shared" si="14"/>
        <v>0.16666666666666666</v>
      </c>
    </row>
    <row r="182" spans="1:35" ht="15">
      <c r="A182" s="170" t="s">
        <v>1360</v>
      </c>
      <c r="B182" s="171" t="s">
        <v>1360</v>
      </c>
      <c r="C182" s="171" t="s">
        <v>1360</v>
      </c>
      <c r="D182" s="171" t="s">
        <v>1251</v>
      </c>
      <c r="E182" s="171" t="s">
        <v>668</v>
      </c>
      <c r="F182" s="171" t="s">
        <v>669</v>
      </c>
      <c r="G182" s="171" t="s">
        <v>670</v>
      </c>
      <c r="H182" s="195">
        <v>3.0085999999999999</v>
      </c>
      <c r="I182" s="171" t="s">
        <v>671</v>
      </c>
      <c r="J182" s="57">
        <v>1</v>
      </c>
      <c r="K182" s="172">
        <v>2021</v>
      </c>
      <c r="L182" s="173" t="s">
        <v>1361</v>
      </c>
      <c r="M182" s="173" t="s">
        <v>1267</v>
      </c>
      <c r="N182" s="174" t="s">
        <v>1362</v>
      </c>
      <c r="O182" s="171" t="s">
        <v>2533</v>
      </c>
      <c r="P182" s="171" t="s">
        <v>675</v>
      </c>
      <c r="Q182" s="209">
        <v>1967</v>
      </c>
      <c r="R182" s="171">
        <v>4</v>
      </c>
      <c r="S182" s="171"/>
      <c r="T182" s="173"/>
      <c r="U182" s="171"/>
      <c r="V182" s="171"/>
      <c r="W182" s="171"/>
      <c r="X182" s="57">
        <v>0</v>
      </c>
      <c r="Y182" s="172">
        <v>2</v>
      </c>
      <c r="Z182" s="175" t="s">
        <v>1256</v>
      </c>
      <c r="AA182" s="176">
        <v>2021</v>
      </c>
      <c r="AB182" s="176">
        <v>7</v>
      </c>
      <c r="AC182" s="176">
        <v>26</v>
      </c>
      <c r="AD182" s="177" t="b">
        <f>IF(ISBLANK(GroupMember[[#This Row],[1. Identifiant interne d’exploitation agricole*]]),"",IF(ISERROR(MATCH(GroupMember[[#This Row],[1. Identifiant interne d’exploitation agricole*]],CertifiedCrop[1. Identifiant interne d’exploitation agricole*],0)),FALSE,TRUE))</f>
        <v>1</v>
      </c>
      <c r="AE182" s="177" t="b">
        <f>IF(ISBLANK(GroupMember[[#This Row],[1. Identifiant interne d’exploitation agricole*]]),"",IF(ISERROR(MATCH(GroupMember[[#This Row],[1. Identifiant interne d’exploitation agricole*]],FarmUnit[1. Identifiant interne d’exploitation agricole*],0)),FALSE,TRUE))</f>
        <v>1</v>
      </c>
      <c r="AF182" s="178" t="str">
        <f t="shared" si="12"/>
        <v>TANH ALEXIS</v>
      </c>
      <c r="AG182" s="179" t="str">
        <f t="shared" si="13"/>
        <v>26/7/2021</v>
      </c>
      <c r="AH182" s="180">
        <f t="shared" si="11"/>
        <v>4</v>
      </c>
      <c r="AI182" s="181">
        <f t="shared" si="14"/>
        <v>0.16666666666666666</v>
      </c>
    </row>
    <row r="183" spans="1:35" ht="15">
      <c r="A183" s="170" t="s">
        <v>1363</v>
      </c>
      <c r="B183" s="171" t="s">
        <v>1363</v>
      </c>
      <c r="C183" s="171" t="s">
        <v>1363</v>
      </c>
      <c r="D183" s="171" t="s">
        <v>1251</v>
      </c>
      <c r="E183" s="171" t="s">
        <v>668</v>
      </c>
      <c r="F183" s="171" t="s">
        <v>669</v>
      </c>
      <c r="G183" s="171" t="s">
        <v>670</v>
      </c>
      <c r="H183" s="195">
        <v>2.1625000000000001</v>
      </c>
      <c r="I183" s="171" t="s">
        <v>671</v>
      </c>
      <c r="J183" s="57">
        <v>1</v>
      </c>
      <c r="K183" s="172">
        <v>2021</v>
      </c>
      <c r="L183" s="173" t="s">
        <v>1364</v>
      </c>
      <c r="M183" s="173" t="s">
        <v>1285</v>
      </c>
      <c r="N183" s="174" t="s">
        <v>1365</v>
      </c>
      <c r="O183" s="171" t="s">
        <v>1366</v>
      </c>
      <c r="P183" s="171" t="s">
        <v>675</v>
      </c>
      <c r="Q183" s="209">
        <v>1985</v>
      </c>
      <c r="R183" s="171">
        <v>5</v>
      </c>
      <c r="S183" s="171"/>
      <c r="T183" s="173"/>
      <c r="U183" s="171"/>
      <c r="V183" s="171"/>
      <c r="W183" s="171"/>
      <c r="X183" s="57">
        <v>0</v>
      </c>
      <c r="Y183" s="172">
        <v>2</v>
      </c>
      <c r="Z183" s="175" t="s">
        <v>1256</v>
      </c>
      <c r="AA183" s="176">
        <v>2021</v>
      </c>
      <c r="AB183" s="176">
        <v>7</v>
      </c>
      <c r="AC183" s="176">
        <v>16</v>
      </c>
      <c r="AD183" s="177" t="b">
        <f>IF(ISBLANK(GroupMember[[#This Row],[1. Identifiant interne d’exploitation agricole*]]),"",IF(ISERROR(MATCH(GroupMember[[#This Row],[1. Identifiant interne d’exploitation agricole*]],CertifiedCrop[1. Identifiant interne d’exploitation agricole*],0)),FALSE,TRUE))</f>
        <v>1</v>
      </c>
      <c r="AE183" s="177" t="b">
        <f>IF(ISBLANK(GroupMember[[#This Row],[1. Identifiant interne d’exploitation agricole*]]),"",IF(ISERROR(MATCH(GroupMember[[#This Row],[1. Identifiant interne d’exploitation agricole*]],FarmUnit[1. Identifiant interne d’exploitation agricole*],0)),FALSE,TRUE))</f>
        <v>1</v>
      </c>
      <c r="AF183" s="178" t="str">
        <f t="shared" si="12"/>
        <v>ZIAN GUEU HERMAN</v>
      </c>
      <c r="AG183" s="179" t="str">
        <f t="shared" si="13"/>
        <v>16/7/2021</v>
      </c>
      <c r="AH183" s="180">
        <f t="shared" si="11"/>
        <v>5</v>
      </c>
      <c r="AI183" s="181">
        <f t="shared" si="14"/>
        <v>0.16666666666666666</v>
      </c>
    </row>
    <row r="184" spans="1:35" ht="15">
      <c r="A184" s="170" t="s">
        <v>1367</v>
      </c>
      <c r="B184" s="171" t="s">
        <v>1367</v>
      </c>
      <c r="C184" s="171" t="s">
        <v>1367</v>
      </c>
      <c r="D184" s="171" t="s">
        <v>1251</v>
      </c>
      <c r="E184" s="171" t="s">
        <v>668</v>
      </c>
      <c r="F184" s="171" t="s">
        <v>669</v>
      </c>
      <c r="G184" s="171" t="s">
        <v>670</v>
      </c>
      <c r="H184" s="195">
        <v>3.7513000000000001</v>
      </c>
      <c r="I184" s="171" t="s">
        <v>671</v>
      </c>
      <c r="J184" s="57">
        <v>1</v>
      </c>
      <c r="K184" s="172">
        <v>2021</v>
      </c>
      <c r="L184" s="173" t="s">
        <v>1368</v>
      </c>
      <c r="M184" s="173" t="s">
        <v>1369</v>
      </c>
      <c r="N184" s="174" t="s">
        <v>1370</v>
      </c>
      <c r="O184" s="171" t="s">
        <v>2534</v>
      </c>
      <c r="P184" s="171" t="s">
        <v>675</v>
      </c>
      <c r="Q184" s="209">
        <v>1953</v>
      </c>
      <c r="R184" s="171">
        <v>6</v>
      </c>
      <c r="S184" s="171"/>
      <c r="T184" s="173"/>
      <c r="U184" s="171"/>
      <c r="V184" s="171"/>
      <c r="W184" s="171"/>
      <c r="X184" s="57">
        <v>0</v>
      </c>
      <c r="Y184" s="172">
        <v>2</v>
      </c>
      <c r="Z184" s="175" t="s">
        <v>1256</v>
      </c>
      <c r="AA184" s="176">
        <v>2021</v>
      </c>
      <c r="AB184" s="176">
        <v>7</v>
      </c>
      <c r="AC184" s="176">
        <v>30</v>
      </c>
      <c r="AD184" s="177" t="b">
        <f>IF(ISBLANK(GroupMember[[#This Row],[1. Identifiant interne d’exploitation agricole*]]),"",IF(ISERROR(MATCH(GroupMember[[#This Row],[1. Identifiant interne d’exploitation agricole*]],CertifiedCrop[1. Identifiant interne d’exploitation agricole*],0)),FALSE,TRUE))</f>
        <v>1</v>
      </c>
      <c r="AE184" s="177" t="b">
        <f>IF(ISBLANK(GroupMember[[#This Row],[1. Identifiant interne d’exploitation agricole*]]),"",IF(ISERROR(MATCH(GroupMember[[#This Row],[1. Identifiant interne d’exploitation agricole*]],FarmUnit[1. Identifiant interne d’exploitation agricole*],0)),FALSE,TRUE))</f>
        <v>1</v>
      </c>
      <c r="AF184" s="178" t="str">
        <f t="shared" si="12"/>
        <v>ZIAN ALPHONS</v>
      </c>
      <c r="AG184" s="179" t="str">
        <f t="shared" si="13"/>
        <v>30/7/2021</v>
      </c>
      <c r="AH184" s="180">
        <f t="shared" si="11"/>
        <v>4</v>
      </c>
      <c r="AI184" s="181">
        <f t="shared" si="14"/>
        <v>0.16666666666666666</v>
      </c>
    </row>
    <row r="185" spans="1:35" ht="15">
      <c r="A185" s="170" t="s">
        <v>1371</v>
      </c>
      <c r="B185" s="171" t="s">
        <v>1371</v>
      </c>
      <c r="C185" s="171" t="s">
        <v>1371</v>
      </c>
      <c r="D185" s="171" t="s">
        <v>1251</v>
      </c>
      <c r="E185" s="171" t="s">
        <v>668</v>
      </c>
      <c r="F185" s="171" t="s">
        <v>669</v>
      </c>
      <c r="G185" s="171" t="s">
        <v>670</v>
      </c>
      <c r="H185" s="195">
        <v>3.4681999999999999</v>
      </c>
      <c r="I185" s="171" t="s">
        <v>671</v>
      </c>
      <c r="J185" s="57">
        <v>1</v>
      </c>
      <c r="K185" s="172">
        <v>2021</v>
      </c>
      <c r="L185" s="173" t="s">
        <v>1372</v>
      </c>
      <c r="M185" s="173" t="s">
        <v>1373</v>
      </c>
      <c r="N185" s="174" t="s">
        <v>1374</v>
      </c>
      <c r="O185" s="171" t="s">
        <v>1375</v>
      </c>
      <c r="P185" s="171" t="s">
        <v>675</v>
      </c>
      <c r="Q185" s="209">
        <v>1979</v>
      </c>
      <c r="R185" s="171">
        <v>11</v>
      </c>
      <c r="S185" s="171"/>
      <c r="T185" s="173"/>
      <c r="U185" s="171"/>
      <c r="V185" s="171"/>
      <c r="W185" s="171"/>
      <c r="X185" s="57">
        <v>0</v>
      </c>
      <c r="Y185" s="172">
        <v>2</v>
      </c>
      <c r="Z185" s="175" t="s">
        <v>1256</v>
      </c>
      <c r="AA185" s="176">
        <v>2021</v>
      </c>
      <c r="AB185" s="176">
        <v>7</v>
      </c>
      <c r="AC185" s="176">
        <v>29</v>
      </c>
      <c r="AD185" s="177" t="b">
        <f>IF(ISBLANK(GroupMember[[#This Row],[1. Identifiant interne d’exploitation agricole*]]),"",IF(ISERROR(MATCH(GroupMember[[#This Row],[1. Identifiant interne d’exploitation agricole*]],CertifiedCrop[1. Identifiant interne d’exploitation agricole*],0)),FALSE,TRUE))</f>
        <v>1</v>
      </c>
      <c r="AE185" s="177" t="b">
        <f>IF(ISBLANK(GroupMember[[#This Row],[1. Identifiant interne d’exploitation agricole*]]),"",IF(ISERROR(MATCH(GroupMember[[#This Row],[1. Identifiant interne d’exploitation agricole*]],FarmUnit[1. Identifiant interne d’exploitation agricole*],0)),FALSE,TRUE))</f>
        <v>1</v>
      </c>
      <c r="AF185" s="178" t="str">
        <f t="shared" si="12"/>
        <v>OULAI KPAN PAUL ANDRE</v>
      </c>
      <c r="AG185" s="179" t="str">
        <f t="shared" si="13"/>
        <v>29/7/2021</v>
      </c>
      <c r="AH185" s="180">
        <f t="shared" si="11"/>
        <v>5</v>
      </c>
      <c r="AI185" s="181">
        <f t="shared" si="14"/>
        <v>0.16666666666666666</v>
      </c>
    </row>
    <row r="186" spans="1:35" ht="15">
      <c r="A186" s="170" t="s">
        <v>1376</v>
      </c>
      <c r="B186" s="171" t="s">
        <v>1376</v>
      </c>
      <c r="C186" s="171" t="s">
        <v>1376</v>
      </c>
      <c r="D186" s="171" t="s">
        <v>1251</v>
      </c>
      <c r="E186" s="171" t="s">
        <v>668</v>
      </c>
      <c r="F186" s="171" t="s">
        <v>669</v>
      </c>
      <c r="G186" s="171" t="s">
        <v>670</v>
      </c>
      <c r="H186" s="195">
        <v>2.3662999999999998</v>
      </c>
      <c r="I186" s="171" t="s">
        <v>671</v>
      </c>
      <c r="J186" s="57">
        <v>1</v>
      </c>
      <c r="K186" s="172">
        <v>2021</v>
      </c>
      <c r="L186" s="173" t="s">
        <v>1377</v>
      </c>
      <c r="M186" s="173" t="s">
        <v>1378</v>
      </c>
      <c r="N186" s="174" t="s">
        <v>1379</v>
      </c>
      <c r="O186" s="171" t="s">
        <v>2535</v>
      </c>
      <c r="P186" s="171" t="s">
        <v>675</v>
      </c>
      <c r="Q186" s="209">
        <v>1995</v>
      </c>
      <c r="R186" s="171">
        <v>10</v>
      </c>
      <c r="S186" s="171"/>
      <c r="T186" s="173"/>
      <c r="U186" s="171"/>
      <c r="V186" s="171"/>
      <c r="W186" s="171"/>
      <c r="X186" s="57">
        <v>0</v>
      </c>
      <c r="Y186" s="172">
        <v>2</v>
      </c>
      <c r="Z186" s="175" t="s">
        <v>1256</v>
      </c>
      <c r="AA186" s="176">
        <v>2021</v>
      </c>
      <c r="AB186" s="176">
        <v>7</v>
      </c>
      <c r="AC186" s="176">
        <v>6</v>
      </c>
      <c r="AD186" s="177" t="b">
        <f>IF(ISBLANK(GroupMember[[#This Row],[1. Identifiant interne d’exploitation agricole*]]),"",IF(ISERROR(MATCH(GroupMember[[#This Row],[1. Identifiant interne d’exploitation agricole*]],CertifiedCrop[1. Identifiant interne d’exploitation agricole*],0)),FALSE,TRUE))</f>
        <v>1</v>
      </c>
      <c r="AE186" s="177" t="b">
        <f>IF(ISBLANK(GroupMember[[#This Row],[1. Identifiant interne d’exploitation agricole*]]),"",IF(ISERROR(MATCH(GroupMember[[#This Row],[1. Identifiant interne d’exploitation agricole*]],FarmUnit[1. Identifiant interne d’exploitation agricole*],0)),FALSE,TRUE))</f>
        <v>1</v>
      </c>
      <c r="AF186" s="178" t="str">
        <f t="shared" si="12"/>
        <v>DION HERMANN</v>
      </c>
      <c r="AG186" s="179" t="str">
        <f t="shared" si="13"/>
        <v>6/7/2021</v>
      </c>
      <c r="AH186" s="180">
        <f t="shared" si="11"/>
        <v>3</v>
      </c>
      <c r="AI186" s="181">
        <f t="shared" si="14"/>
        <v>0.16666666666666666</v>
      </c>
    </row>
    <row r="187" spans="1:35" ht="15">
      <c r="A187" s="170" t="s">
        <v>1380</v>
      </c>
      <c r="B187" s="171" t="s">
        <v>1380</v>
      </c>
      <c r="C187" s="171" t="s">
        <v>1380</v>
      </c>
      <c r="D187" s="171" t="s">
        <v>1251</v>
      </c>
      <c r="E187" s="171" t="s">
        <v>668</v>
      </c>
      <c r="F187" s="171" t="s">
        <v>669</v>
      </c>
      <c r="G187" s="171" t="s">
        <v>670</v>
      </c>
      <c r="H187" s="195">
        <v>2.9247000000000001</v>
      </c>
      <c r="I187" s="171" t="s">
        <v>671</v>
      </c>
      <c r="J187" s="57">
        <v>1</v>
      </c>
      <c r="K187" s="172">
        <v>2021</v>
      </c>
      <c r="L187" s="173" t="s">
        <v>1381</v>
      </c>
      <c r="M187" s="173" t="s">
        <v>1382</v>
      </c>
      <c r="N187" s="174" t="s">
        <v>1383</v>
      </c>
      <c r="O187" s="171" t="s">
        <v>1384</v>
      </c>
      <c r="P187" s="171" t="s">
        <v>675</v>
      </c>
      <c r="Q187" s="209">
        <v>1979</v>
      </c>
      <c r="R187" s="171">
        <v>4</v>
      </c>
      <c r="S187" s="171"/>
      <c r="T187" s="173"/>
      <c r="U187" s="171"/>
      <c r="V187" s="171"/>
      <c r="W187" s="171"/>
      <c r="X187" s="57">
        <v>0</v>
      </c>
      <c r="Y187" s="172">
        <v>2</v>
      </c>
      <c r="Z187" s="175" t="s">
        <v>1256</v>
      </c>
      <c r="AA187" s="176">
        <v>2021</v>
      </c>
      <c r="AB187" s="176">
        <v>7</v>
      </c>
      <c r="AC187" s="176">
        <v>12</v>
      </c>
      <c r="AD187" s="177" t="b">
        <f>IF(ISBLANK(GroupMember[[#This Row],[1. Identifiant interne d’exploitation agricole*]]),"",IF(ISERROR(MATCH(GroupMember[[#This Row],[1. Identifiant interne d’exploitation agricole*]],CertifiedCrop[1. Identifiant interne d’exploitation agricole*],0)),FALSE,TRUE))</f>
        <v>1</v>
      </c>
      <c r="AE187" s="177" t="b">
        <f>IF(ISBLANK(GroupMember[[#This Row],[1. Identifiant interne d’exploitation agricole*]]),"",IF(ISERROR(MATCH(GroupMember[[#This Row],[1. Identifiant interne d’exploitation agricole*]],FarmUnit[1. Identifiant interne d’exploitation agricole*],0)),FALSE,TRUE))</f>
        <v>1</v>
      </c>
      <c r="AF187" s="178" t="str">
        <f t="shared" si="12"/>
        <v>YOLLA PHIPPE</v>
      </c>
      <c r="AG187" s="179" t="str">
        <f t="shared" si="13"/>
        <v>12/7/2021</v>
      </c>
      <c r="AH187" s="180">
        <f t="shared" si="11"/>
        <v>5</v>
      </c>
      <c r="AI187" s="181">
        <f t="shared" si="14"/>
        <v>0.16666666666666666</v>
      </c>
    </row>
    <row r="188" spans="1:35" ht="15">
      <c r="A188" s="170" t="s">
        <v>1385</v>
      </c>
      <c r="B188" s="171" t="s">
        <v>1385</v>
      </c>
      <c r="C188" s="171" t="s">
        <v>1385</v>
      </c>
      <c r="D188" s="171" t="s">
        <v>1251</v>
      </c>
      <c r="E188" s="171" t="s">
        <v>668</v>
      </c>
      <c r="F188" s="171" t="s">
        <v>669</v>
      </c>
      <c r="G188" s="171" t="s">
        <v>670</v>
      </c>
      <c r="H188" s="195">
        <v>1.9298</v>
      </c>
      <c r="I188" s="171" t="s">
        <v>671</v>
      </c>
      <c r="J188" s="57">
        <v>1</v>
      </c>
      <c r="K188" s="172">
        <v>2021</v>
      </c>
      <c r="L188" s="173" t="s">
        <v>1356</v>
      </c>
      <c r="M188" s="173" t="s">
        <v>1153</v>
      </c>
      <c r="N188" s="174" t="s">
        <v>1386</v>
      </c>
      <c r="O188" s="171" t="s">
        <v>2536</v>
      </c>
      <c r="P188" s="171" t="s">
        <v>675</v>
      </c>
      <c r="Q188" s="209">
        <v>1965</v>
      </c>
      <c r="R188" s="171">
        <v>2</v>
      </c>
      <c r="S188" s="171"/>
      <c r="T188" s="173"/>
      <c r="U188" s="171"/>
      <c r="V188" s="171"/>
      <c r="W188" s="171"/>
      <c r="X188" s="57">
        <v>0</v>
      </c>
      <c r="Y188" s="172">
        <v>2</v>
      </c>
      <c r="Z188" s="175" t="s">
        <v>1256</v>
      </c>
      <c r="AA188" s="176">
        <v>2021</v>
      </c>
      <c r="AB188" s="176">
        <v>7</v>
      </c>
      <c r="AC188" s="176">
        <v>21</v>
      </c>
      <c r="AD188" s="177" t="b">
        <f>IF(ISBLANK(GroupMember[[#This Row],[1. Identifiant interne d’exploitation agricole*]]),"",IF(ISERROR(MATCH(GroupMember[[#This Row],[1. Identifiant interne d’exploitation agricole*]],CertifiedCrop[1. Identifiant interne d’exploitation agricole*],0)),FALSE,TRUE))</f>
        <v>1</v>
      </c>
      <c r="AE188" s="177" t="b">
        <f>IF(ISBLANK(GroupMember[[#This Row],[1. Identifiant interne d’exploitation agricole*]]),"",IF(ISERROR(MATCH(GroupMember[[#This Row],[1. Identifiant interne d’exploitation agricole*]],FarmUnit[1. Identifiant interne d’exploitation agricole*],0)),FALSE,TRUE))</f>
        <v>1</v>
      </c>
      <c r="AF188" s="178" t="str">
        <f t="shared" si="12"/>
        <v>KPAN PHILIPPE</v>
      </c>
      <c r="AG188" s="179" t="str">
        <f t="shared" si="13"/>
        <v>21/7/2021</v>
      </c>
      <c r="AH188" s="180">
        <f t="shared" si="11"/>
        <v>2</v>
      </c>
      <c r="AI188" s="181">
        <f t="shared" si="14"/>
        <v>0.16666666666666666</v>
      </c>
    </row>
    <row r="189" spans="1:35" ht="15">
      <c r="A189" s="170" t="s">
        <v>1387</v>
      </c>
      <c r="B189" s="171" t="s">
        <v>1387</v>
      </c>
      <c r="C189" s="171" t="s">
        <v>1387</v>
      </c>
      <c r="D189" s="171" t="s">
        <v>1251</v>
      </c>
      <c r="E189" s="171" t="s">
        <v>668</v>
      </c>
      <c r="F189" s="171" t="s">
        <v>669</v>
      </c>
      <c r="G189" s="171" t="s">
        <v>670</v>
      </c>
      <c r="H189" s="195">
        <v>1.6953</v>
      </c>
      <c r="I189" s="171" t="s">
        <v>671</v>
      </c>
      <c r="J189" s="57">
        <v>1</v>
      </c>
      <c r="K189" s="172">
        <v>2021</v>
      </c>
      <c r="L189" s="173" t="s">
        <v>1356</v>
      </c>
      <c r="M189" s="173" t="s">
        <v>1388</v>
      </c>
      <c r="N189" s="174" t="s">
        <v>1389</v>
      </c>
      <c r="O189" s="171" t="s">
        <v>2537</v>
      </c>
      <c r="P189" s="171" t="s">
        <v>675</v>
      </c>
      <c r="Q189" s="209">
        <v>1978</v>
      </c>
      <c r="R189" s="171">
        <v>7</v>
      </c>
      <c r="S189" s="171"/>
      <c r="T189" s="173"/>
      <c r="U189" s="171"/>
      <c r="V189" s="171"/>
      <c r="W189" s="171"/>
      <c r="X189" s="57">
        <v>0</v>
      </c>
      <c r="Y189" s="172">
        <v>2</v>
      </c>
      <c r="Z189" s="175" t="s">
        <v>1256</v>
      </c>
      <c r="AA189" s="176">
        <v>2021</v>
      </c>
      <c r="AB189" s="176">
        <v>7</v>
      </c>
      <c r="AC189" s="176">
        <v>12</v>
      </c>
      <c r="AD189" s="177" t="b">
        <f>IF(ISBLANK(GroupMember[[#This Row],[1. Identifiant interne d’exploitation agricole*]]),"",IF(ISERROR(MATCH(GroupMember[[#This Row],[1. Identifiant interne d’exploitation agricole*]],CertifiedCrop[1. Identifiant interne d’exploitation agricole*],0)),FALSE,TRUE))</f>
        <v>1</v>
      </c>
      <c r="AE189" s="177" t="b">
        <f>IF(ISBLANK(GroupMember[[#This Row],[1. Identifiant interne d’exploitation agricole*]]),"",IF(ISERROR(MATCH(GroupMember[[#This Row],[1. Identifiant interne d’exploitation agricole*]],FarmUnit[1. Identifiant interne d’exploitation agricole*],0)),FALSE,TRUE))</f>
        <v>1</v>
      </c>
      <c r="AF189" s="178" t="str">
        <f t="shared" si="12"/>
        <v>KPAN FRANCK</v>
      </c>
      <c r="AG189" s="179" t="str">
        <f t="shared" si="13"/>
        <v>12/7/2021</v>
      </c>
      <c r="AH189" s="180">
        <f t="shared" si="11"/>
        <v>5</v>
      </c>
      <c r="AI189" s="181">
        <f t="shared" si="14"/>
        <v>0.16666666666666666</v>
      </c>
    </row>
    <row r="190" spans="1:35" ht="15">
      <c r="A190" s="170" t="s">
        <v>1390</v>
      </c>
      <c r="B190" s="171" t="s">
        <v>1390</v>
      </c>
      <c r="C190" s="171" t="s">
        <v>1390</v>
      </c>
      <c r="D190" s="171" t="s">
        <v>1251</v>
      </c>
      <c r="E190" s="171" t="s">
        <v>668</v>
      </c>
      <c r="F190" s="171" t="s">
        <v>669</v>
      </c>
      <c r="G190" s="171" t="s">
        <v>670</v>
      </c>
      <c r="H190" s="195">
        <v>7.7637999999999998</v>
      </c>
      <c r="I190" s="171" t="s">
        <v>671</v>
      </c>
      <c r="J190" s="57">
        <v>1</v>
      </c>
      <c r="K190" s="172">
        <v>2021</v>
      </c>
      <c r="L190" s="173" t="s">
        <v>1391</v>
      </c>
      <c r="M190" s="173" t="s">
        <v>1392</v>
      </c>
      <c r="N190" s="174" t="s">
        <v>1393</v>
      </c>
      <c r="O190" s="171" t="s">
        <v>1394</v>
      </c>
      <c r="P190" s="171" t="s">
        <v>675</v>
      </c>
      <c r="Q190" s="209">
        <v>1970</v>
      </c>
      <c r="R190" s="171">
        <v>5</v>
      </c>
      <c r="S190" s="171"/>
      <c r="T190" s="173"/>
      <c r="U190" s="171"/>
      <c r="V190" s="171"/>
      <c r="W190" s="171"/>
      <c r="X190" s="57">
        <v>2</v>
      </c>
      <c r="Y190" s="172">
        <v>4</v>
      </c>
      <c r="Z190" s="175" t="s">
        <v>1256</v>
      </c>
      <c r="AA190" s="176">
        <v>2021</v>
      </c>
      <c r="AB190" s="176">
        <v>8</v>
      </c>
      <c r="AC190" s="176">
        <v>16</v>
      </c>
      <c r="AD190" s="177" t="b">
        <f>IF(ISBLANK(GroupMember[[#This Row],[1. Identifiant interne d’exploitation agricole*]]),"",IF(ISERROR(MATCH(GroupMember[[#This Row],[1. Identifiant interne d’exploitation agricole*]],CertifiedCrop[1. Identifiant interne d’exploitation agricole*],0)),FALSE,TRUE))</f>
        <v>1</v>
      </c>
      <c r="AE190" s="177" t="b">
        <f>IF(ISBLANK(GroupMember[[#This Row],[1. Identifiant interne d’exploitation agricole*]]),"",IF(ISERROR(MATCH(GroupMember[[#This Row],[1. Identifiant interne d’exploitation agricole*]],FarmUnit[1. Identifiant interne d’exploitation agricole*],0)),FALSE,TRUE))</f>
        <v>1</v>
      </c>
      <c r="AF190" s="178" t="str">
        <f t="shared" si="12"/>
        <v>KOUASSI KPAN SERAPHIN</v>
      </c>
      <c r="AG190" s="179" t="str">
        <f t="shared" si="13"/>
        <v>16/8/2021</v>
      </c>
      <c r="AH190" s="180">
        <f t="shared" si="11"/>
        <v>5</v>
      </c>
      <c r="AI190" s="181">
        <f t="shared" si="14"/>
        <v>2.3333333333333335</v>
      </c>
    </row>
    <row r="191" spans="1:35" ht="15">
      <c r="A191" s="170" t="s">
        <v>1395</v>
      </c>
      <c r="B191" s="171" t="s">
        <v>1395</v>
      </c>
      <c r="C191" s="171" t="s">
        <v>1395</v>
      </c>
      <c r="D191" s="171" t="s">
        <v>1251</v>
      </c>
      <c r="E191" s="171" t="s">
        <v>668</v>
      </c>
      <c r="F191" s="171" t="s">
        <v>669</v>
      </c>
      <c r="G191" s="171" t="s">
        <v>670</v>
      </c>
      <c r="H191" s="195">
        <v>3.8378999999999999</v>
      </c>
      <c r="I191" s="171" t="s">
        <v>671</v>
      </c>
      <c r="J191" s="57">
        <v>1</v>
      </c>
      <c r="K191" s="172">
        <v>2021</v>
      </c>
      <c r="L191" s="173" t="s">
        <v>1356</v>
      </c>
      <c r="M191" s="173" t="s">
        <v>1337</v>
      </c>
      <c r="N191" s="174" t="s">
        <v>1396</v>
      </c>
      <c r="O191" s="171" t="s">
        <v>1397</v>
      </c>
      <c r="P191" s="171" t="s">
        <v>675</v>
      </c>
      <c r="Q191" s="209">
        <v>1974</v>
      </c>
      <c r="R191" s="171">
        <v>7</v>
      </c>
      <c r="S191" s="171"/>
      <c r="T191" s="173"/>
      <c r="U191" s="171"/>
      <c r="V191" s="171"/>
      <c r="W191" s="171"/>
      <c r="X191" s="57">
        <v>0</v>
      </c>
      <c r="Y191" s="172">
        <v>2</v>
      </c>
      <c r="Z191" s="175" t="s">
        <v>1256</v>
      </c>
      <c r="AA191" s="176">
        <v>2021</v>
      </c>
      <c r="AB191" s="176">
        <v>8</v>
      </c>
      <c r="AC191" s="176">
        <v>4</v>
      </c>
      <c r="AD191" s="177" t="b">
        <f>IF(ISBLANK(GroupMember[[#This Row],[1. Identifiant interne d’exploitation agricole*]]),"",IF(ISERROR(MATCH(GroupMember[[#This Row],[1. Identifiant interne d’exploitation agricole*]],CertifiedCrop[1. Identifiant interne d’exploitation agricole*],0)),FALSE,TRUE))</f>
        <v>1</v>
      </c>
      <c r="AE191" s="177" t="b">
        <f>IF(ISBLANK(GroupMember[[#This Row],[1. Identifiant interne d’exploitation agricole*]]),"",IF(ISERROR(MATCH(GroupMember[[#This Row],[1. Identifiant interne d’exploitation agricole*]],FarmUnit[1. Identifiant interne d’exploitation agricole*],0)),FALSE,TRUE))</f>
        <v>1</v>
      </c>
      <c r="AF191" s="178" t="str">
        <f t="shared" si="12"/>
        <v>KPAN TIEMOKO</v>
      </c>
      <c r="AG191" s="179" t="str">
        <f t="shared" si="13"/>
        <v>4/8/2021</v>
      </c>
      <c r="AH191" s="180">
        <f t="shared" si="11"/>
        <v>3</v>
      </c>
      <c r="AI191" s="181">
        <f t="shared" si="14"/>
        <v>0.16666666666666666</v>
      </c>
    </row>
    <row r="192" spans="1:35" ht="15">
      <c r="A192" s="170" t="s">
        <v>1398</v>
      </c>
      <c r="B192" s="171" t="s">
        <v>1398</v>
      </c>
      <c r="C192" s="171" t="s">
        <v>1398</v>
      </c>
      <c r="D192" s="171" t="s">
        <v>1251</v>
      </c>
      <c r="E192" s="171" t="s">
        <v>668</v>
      </c>
      <c r="F192" s="171" t="s">
        <v>669</v>
      </c>
      <c r="G192" s="171" t="s">
        <v>670</v>
      </c>
      <c r="H192" s="195">
        <v>3.1526000000000001</v>
      </c>
      <c r="I192" s="171" t="s">
        <v>671</v>
      </c>
      <c r="J192" s="57">
        <v>1</v>
      </c>
      <c r="K192" s="172">
        <v>2021</v>
      </c>
      <c r="L192" s="173" t="s">
        <v>1399</v>
      </c>
      <c r="M192" s="173" t="s">
        <v>707</v>
      </c>
      <c r="N192" s="174" t="s">
        <v>1400</v>
      </c>
      <c r="O192" s="171" t="s">
        <v>2538</v>
      </c>
      <c r="P192" s="171" t="s">
        <v>675</v>
      </c>
      <c r="Q192" s="209">
        <v>1987</v>
      </c>
      <c r="R192" s="171">
        <v>8</v>
      </c>
      <c r="S192" s="171"/>
      <c r="T192" s="173"/>
      <c r="U192" s="171"/>
      <c r="V192" s="171"/>
      <c r="W192" s="171"/>
      <c r="X192" s="57">
        <v>0</v>
      </c>
      <c r="Y192" s="172">
        <v>2</v>
      </c>
      <c r="Z192" s="175" t="s">
        <v>1256</v>
      </c>
      <c r="AA192" s="176">
        <v>2021</v>
      </c>
      <c r="AB192" s="176">
        <v>7</v>
      </c>
      <c r="AC192" s="176">
        <v>5</v>
      </c>
      <c r="AD192" s="177" t="b">
        <f>IF(ISBLANK(GroupMember[[#This Row],[1. Identifiant interne d’exploitation agricole*]]),"",IF(ISERROR(MATCH(GroupMember[[#This Row],[1. Identifiant interne d’exploitation agricole*]],CertifiedCrop[1. Identifiant interne d’exploitation agricole*],0)),FALSE,TRUE))</f>
        <v>1</v>
      </c>
      <c r="AE192" s="177" t="b">
        <f>IF(ISBLANK(GroupMember[[#This Row],[1. Identifiant interne d’exploitation agricole*]]),"",IF(ISERROR(MATCH(GroupMember[[#This Row],[1. Identifiant interne d’exploitation agricole*]],FarmUnit[1. Identifiant interne d’exploitation agricole*],0)),FALSE,TRUE))</f>
        <v>1</v>
      </c>
      <c r="AF192" s="178" t="str">
        <f t="shared" si="12"/>
        <v>GONTO KOUE PIERRE</v>
      </c>
      <c r="AG192" s="179" t="str">
        <f t="shared" si="13"/>
        <v>5/7/2021</v>
      </c>
      <c r="AH192" s="180">
        <f t="shared" si="11"/>
        <v>5</v>
      </c>
      <c r="AI192" s="181">
        <f t="shared" si="14"/>
        <v>0.16666666666666666</v>
      </c>
    </row>
    <row r="193" spans="1:35" ht="15">
      <c r="A193" s="170" t="s">
        <v>1401</v>
      </c>
      <c r="B193" s="171" t="s">
        <v>1401</v>
      </c>
      <c r="C193" s="171" t="s">
        <v>1401</v>
      </c>
      <c r="D193" s="171" t="s">
        <v>1251</v>
      </c>
      <c r="E193" s="171" t="s">
        <v>668</v>
      </c>
      <c r="F193" s="171" t="s">
        <v>669</v>
      </c>
      <c r="G193" s="171" t="s">
        <v>670</v>
      </c>
      <c r="H193" s="195">
        <v>6.5933000000000002</v>
      </c>
      <c r="I193" s="171" t="s">
        <v>671</v>
      </c>
      <c r="J193" s="57">
        <v>1</v>
      </c>
      <c r="K193" s="172">
        <v>2021</v>
      </c>
      <c r="L193" s="173" t="s">
        <v>1402</v>
      </c>
      <c r="M193" s="173" t="s">
        <v>1403</v>
      </c>
      <c r="N193" s="174" t="s">
        <v>1404</v>
      </c>
      <c r="O193" s="171" t="s">
        <v>1405</v>
      </c>
      <c r="P193" s="171" t="s">
        <v>675</v>
      </c>
      <c r="Q193" s="209">
        <v>1974</v>
      </c>
      <c r="R193" s="171">
        <v>7</v>
      </c>
      <c r="S193" s="171"/>
      <c r="T193" s="173"/>
      <c r="U193" s="171"/>
      <c r="V193" s="171"/>
      <c r="W193" s="171"/>
      <c r="X193" s="57">
        <v>3</v>
      </c>
      <c r="Y193" s="172">
        <v>5</v>
      </c>
      <c r="Z193" s="175" t="s">
        <v>1256</v>
      </c>
      <c r="AA193" s="176">
        <v>2021</v>
      </c>
      <c r="AB193" s="176">
        <v>7</v>
      </c>
      <c r="AC193" s="176">
        <v>6</v>
      </c>
      <c r="AD193" s="177" t="b">
        <f>IF(ISBLANK(GroupMember[[#This Row],[1. Identifiant interne d’exploitation agricole*]]),"",IF(ISERROR(MATCH(GroupMember[[#This Row],[1. Identifiant interne d’exploitation agricole*]],CertifiedCrop[1. Identifiant interne d’exploitation agricole*],0)),FALSE,TRUE))</f>
        <v>1</v>
      </c>
      <c r="AE193" s="177" t="b">
        <f>IF(ISBLANK(GroupMember[[#This Row],[1. Identifiant interne d’exploitation agricole*]]),"",IF(ISERROR(MATCH(GroupMember[[#This Row],[1. Identifiant interne d’exploitation agricole*]],FarmUnit[1. Identifiant interne d’exploitation agricole*],0)),FALSE,TRUE))</f>
        <v>1</v>
      </c>
      <c r="AF193" s="178" t="str">
        <f t="shared" si="12"/>
        <v>GNANLE ANDRE</v>
      </c>
      <c r="AG193" s="179" t="str">
        <f t="shared" si="13"/>
        <v>6/7/2021</v>
      </c>
      <c r="AH193" s="180">
        <f t="shared" si="11"/>
        <v>3</v>
      </c>
      <c r="AI193" s="181">
        <f t="shared" si="14"/>
        <v>3.4166666666666665</v>
      </c>
    </row>
    <row r="194" spans="1:35" ht="15">
      <c r="A194" s="170" t="s">
        <v>1406</v>
      </c>
      <c r="B194" s="171" t="s">
        <v>1406</v>
      </c>
      <c r="C194" s="171" t="s">
        <v>1406</v>
      </c>
      <c r="D194" s="171" t="s">
        <v>1251</v>
      </c>
      <c r="E194" s="171" t="s">
        <v>668</v>
      </c>
      <c r="F194" s="171" t="s">
        <v>669</v>
      </c>
      <c r="G194" s="171" t="s">
        <v>670</v>
      </c>
      <c r="H194" s="195">
        <v>2.4314</v>
      </c>
      <c r="I194" s="171" t="s">
        <v>671</v>
      </c>
      <c r="J194" s="57">
        <v>1</v>
      </c>
      <c r="K194" s="172">
        <v>2021</v>
      </c>
      <c r="L194" s="173" t="s">
        <v>1407</v>
      </c>
      <c r="M194" s="173" t="s">
        <v>1408</v>
      </c>
      <c r="N194" s="174" t="s">
        <v>884</v>
      </c>
      <c r="O194" s="171" t="s">
        <v>2539</v>
      </c>
      <c r="P194" s="171" t="s">
        <v>675</v>
      </c>
      <c r="Q194" s="209">
        <v>1954</v>
      </c>
      <c r="R194" s="171">
        <v>7</v>
      </c>
      <c r="S194" s="171"/>
      <c r="T194" s="173"/>
      <c r="U194" s="171"/>
      <c r="V194" s="171"/>
      <c r="W194" s="171"/>
      <c r="X194" s="57">
        <v>0</v>
      </c>
      <c r="Y194" s="172">
        <v>2</v>
      </c>
      <c r="Z194" s="175" t="s">
        <v>1256</v>
      </c>
      <c r="AA194" s="176">
        <v>2021</v>
      </c>
      <c r="AB194" s="176">
        <v>7</v>
      </c>
      <c r="AC194" s="176">
        <v>16</v>
      </c>
      <c r="AD194" s="177" t="b">
        <f>IF(ISBLANK(GroupMember[[#This Row],[1. Identifiant interne d’exploitation agricole*]]),"",IF(ISERROR(MATCH(GroupMember[[#This Row],[1. Identifiant interne d’exploitation agricole*]],CertifiedCrop[1. Identifiant interne d’exploitation agricole*],0)),FALSE,TRUE))</f>
        <v>1</v>
      </c>
      <c r="AE194" s="177" t="b">
        <f>IF(ISBLANK(GroupMember[[#This Row],[1. Identifiant interne d’exploitation agricole*]]),"",IF(ISERROR(MATCH(GroupMember[[#This Row],[1. Identifiant interne d’exploitation agricole*]],FarmUnit[1. Identifiant interne d’exploitation agricole*],0)),FALSE,TRUE))</f>
        <v>1</v>
      </c>
      <c r="AF194" s="178" t="str">
        <f t="shared" si="12"/>
        <v>TROH HENRI</v>
      </c>
      <c r="AG194" s="179" t="str">
        <f t="shared" si="13"/>
        <v>16/7/2021</v>
      </c>
      <c r="AH194" s="180">
        <f t="shared" si="11"/>
        <v>5</v>
      </c>
      <c r="AI194" s="181">
        <f t="shared" si="14"/>
        <v>0.16666666666666666</v>
      </c>
    </row>
    <row r="195" spans="1:35" ht="15">
      <c r="A195" s="170" t="s">
        <v>1409</v>
      </c>
      <c r="B195" s="171" t="s">
        <v>1409</v>
      </c>
      <c r="C195" s="171" t="s">
        <v>1409</v>
      </c>
      <c r="D195" s="171" t="s">
        <v>1251</v>
      </c>
      <c r="E195" s="171" t="s">
        <v>668</v>
      </c>
      <c r="F195" s="171" t="s">
        <v>669</v>
      </c>
      <c r="G195" s="171" t="s">
        <v>670</v>
      </c>
      <c r="H195" s="195">
        <v>2.9187000000000003</v>
      </c>
      <c r="I195" s="171" t="s">
        <v>671</v>
      </c>
      <c r="J195" s="57">
        <v>1</v>
      </c>
      <c r="K195" s="172">
        <v>2021</v>
      </c>
      <c r="L195" s="173" t="s">
        <v>1410</v>
      </c>
      <c r="M195" s="173" t="s">
        <v>1411</v>
      </c>
      <c r="N195" s="174" t="s">
        <v>1412</v>
      </c>
      <c r="O195" s="171" t="s">
        <v>1413</v>
      </c>
      <c r="P195" s="171" t="s">
        <v>675</v>
      </c>
      <c r="Q195" s="209">
        <v>1978</v>
      </c>
      <c r="R195" s="171">
        <v>5</v>
      </c>
      <c r="S195" s="171"/>
      <c r="T195" s="173"/>
      <c r="U195" s="171"/>
      <c r="V195" s="171"/>
      <c r="W195" s="171"/>
      <c r="X195" s="57">
        <v>0</v>
      </c>
      <c r="Y195" s="172">
        <v>2</v>
      </c>
      <c r="Z195" s="175" t="s">
        <v>1256</v>
      </c>
      <c r="AA195" s="176">
        <v>2021</v>
      </c>
      <c r="AB195" s="176">
        <v>8</v>
      </c>
      <c r="AC195" s="176">
        <v>9</v>
      </c>
      <c r="AD195" s="177" t="b">
        <f>IF(ISBLANK(GroupMember[[#This Row],[1. Identifiant interne d’exploitation agricole*]]),"",IF(ISERROR(MATCH(GroupMember[[#This Row],[1. Identifiant interne d’exploitation agricole*]],CertifiedCrop[1. Identifiant interne d’exploitation agricole*],0)),FALSE,TRUE))</f>
        <v>1</v>
      </c>
      <c r="AE195" s="177" t="b">
        <f>IF(ISBLANK(GroupMember[[#This Row],[1. Identifiant interne d’exploitation agricole*]]),"",IF(ISERROR(MATCH(GroupMember[[#This Row],[1. Identifiant interne d’exploitation agricole*]],FarmUnit[1. Identifiant interne d’exploitation agricole*],0)),FALSE,TRUE))</f>
        <v>1</v>
      </c>
      <c r="AF195" s="178" t="str">
        <f t="shared" si="12"/>
        <v>KOUI OUAGUEY PATRICE</v>
      </c>
      <c r="AG195" s="179" t="str">
        <f t="shared" si="13"/>
        <v>9/8/2021</v>
      </c>
      <c r="AH195" s="180">
        <f t="shared" ref="AH195:AH258" si="15">COUNTIFS(Z:Z,Z195,AG:AG,AG195)</f>
        <v>2</v>
      </c>
      <c r="AI195" s="181">
        <f t="shared" si="14"/>
        <v>0.16666666666666666</v>
      </c>
    </row>
    <row r="196" spans="1:35" ht="15">
      <c r="A196" s="170" t="s">
        <v>1414</v>
      </c>
      <c r="B196" s="171" t="s">
        <v>1414</v>
      </c>
      <c r="C196" s="171" t="s">
        <v>1414</v>
      </c>
      <c r="D196" s="171" t="s">
        <v>1251</v>
      </c>
      <c r="E196" s="171" t="s">
        <v>668</v>
      </c>
      <c r="F196" s="171" t="s">
        <v>669</v>
      </c>
      <c r="G196" s="171" t="s">
        <v>670</v>
      </c>
      <c r="H196" s="195">
        <v>2.6783000000000001</v>
      </c>
      <c r="I196" s="171" t="s">
        <v>671</v>
      </c>
      <c r="J196" s="57">
        <v>1</v>
      </c>
      <c r="K196" s="172">
        <v>2021</v>
      </c>
      <c r="L196" s="173" t="s">
        <v>1252</v>
      </c>
      <c r="M196" s="173" t="s">
        <v>1415</v>
      </c>
      <c r="N196" s="174" t="s">
        <v>1416</v>
      </c>
      <c r="O196" s="171" t="s">
        <v>1417</v>
      </c>
      <c r="P196" s="171" t="s">
        <v>675</v>
      </c>
      <c r="Q196" s="209">
        <v>1988</v>
      </c>
      <c r="R196" s="171">
        <v>6</v>
      </c>
      <c r="S196" s="171"/>
      <c r="T196" s="173"/>
      <c r="U196" s="171"/>
      <c r="V196" s="171"/>
      <c r="W196" s="171"/>
      <c r="X196" s="57">
        <v>0</v>
      </c>
      <c r="Y196" s="172">
        <v>2</v>
      </c>
      <c r="Z196" s="175" t="s">
        <v>1256</v>
      </c>
      <c r="AA196" s="176">
        <v>2021</v>
      </c>
      <c r="AB196" s="176">
        <v>7</v>
      </c>
      <c r="AC196" s="176">
        <v>7</v>
      </c>
      <c r="AD196" s="177" t="b">
        <f>IF(ISBLANK(GroupMember[[#This Row],[1. Identifiant interne d’exploitation agricole*]]),"",IF(ISERROR(MATCH(GroupMember[[#This Row],[1. Identifiant interne d’exploitation agricole*]],CertifiedCrop[1. Identifiant interne d’exploitation agricole*],0)),FALSE,TRUE))</f>
        <v>1</v>
      </c>
      <c r="AE196" s="177" t="b">
        <f>IF(ISBLANK(GroupMember[[#This Row],[1. Identifiant interne d’exploitation agricole*]]),"",IF(ISERROR(MATCH(GroupMember[[#This Row],[1. Identifiant interne d’exploitation agricole*]],FarmUnit[1. Identifiant interne d’exploitation agricole*],0)),FALSE,TRUE))</f>
        <v>1</v>
      </c>
      <c r="AF196" s="178" t="str">
        <f t="shared" si="12"/>
        <v>OULAI ETIENNE</v>
      </c>
      <c r="AG196" s="179" t="str">
        <f t="shared" si="13"/>
        <v>7/7/2021</v>
      </c>
      <c r="AH196" s="180">
        <f t="shared" si="15"/>
        <v>5</v>
      </c>
      <c r="AI196" s="181">
        <f t="shared" si="14"/>
        <v>0.16666666666666666</v>
      </c>
    </row>
    <row r="197" spans="1:35" ht="15">
      <c r="A197" s="170" t="s">
        <v>1418</v>
      </c>
      <c r="B197" s="171" t="s">
        <v>1418</v>
      </c>
      <c r="C197" s="171" t="s">
        <v>1418</v>
      </c>
      <c r="D197" s="171" t="s">
        <v>1251</v>
      </c>
      <c r="E197" s="171" t="s">
        <v>668</v>
      </c>
      <c r="F197" s="171" t="s">
        <v>669</v>
      </c>
      <c r="G197" s="171" t="s">
        <v>670</v>
      </c>
      <c r="H197" s="195">
        <v>3.8050999999999999</v>
      </c>
      <c r="I197" s="171" t="s">
        <v>671</v>
      </c>
      <c r="J197" s="57">
        <v>1</v>
      </c>
      <c r="K197" s="172">
        <v>2021</v>
      </c>
      <c r="L197" s="173" t="s">
        <v>1252</v>
      </c>
      <c r="M197" s="173" t="s">
        <v>1419</v>
      </c>
      <c r="N197" s="174" t="s">
        <v>1420</v>
      </c>
      <c r="O197" s="171" t="s">
        <v>2540</v>
      </c>
      <c r="P197" s="171" t="s">
        <v>675</v>
      </c>
      <c r="Q197" s="209">
        <v>1966</v>
      </c>
      <c r="R197" s="171">
        <v>11</v>
      </c>
      <c r="S197" s="171"/>
      <c r="T197" s="173"/>
      <c r="U197" s="171"/>
      <c r="V197" s="171"/>
      <c r="W197" s="171"/>
      <c r="X197" s="57">
        <v>0</v>
      </c>
      <c r="Y197" s="172">
        <v>2</v>
      </c>
      <c r="Z197" s="175" t="s">
        <v>1256</v>
      </c>
      <c r="AA197" s="176">
        <v>2021</v>
      </c>
      <c r="AB197" s="176">
        <v>8</v>
      </c>
      <c r="AC197" s="176">
        <v>24</v>
      </c>
      <c r="AD197" s="177" t="b">
        <f>IF(ISBLANK(GroupMember[[#This Row],[1. Identifiant interne d’exploitation agricole*]]),"",IF(ISERROR(MATCH(GroupMember[[#This Row],[1. Identifiant interne d’exploitation agricole*]],CertifiedCrop[1. Identifiant interne d’exploitation agricole*],0)),FALSE,TRUE))</f>
        <v>1</v>
      </c>
      <c r="AE197" s="177" t="b">
        <f>IF(ISBLANK(GroupMember[[#This Row],[1. Identifiant interne d’exploitation agricole*]]),"",IF(ISERROR(MATCH(GroupMember[[#This Row],[1. Identifiant interne d’exploitation agricole*]],FarmUnit[1. Identifiant interne d’exploitation agricole*],0)),FALSE,TRUE))</f>
        <v>1</v>
      </c>
      <c r="AF197" s="178" t="str">
        <f t="shared" si="12"/>
        <v>OULAI EMMANUEL</v>
      </c>
      <c r="AG197" s="179" t="str">
        <f t="shared" si="13"/>
        <v>24/8/2021</v>
      </c>
      <c r="AH197" s="180">
        <f t="shared" si="15"/>
        <v>6</v>
      </c>
      <c r="AI197" s="181">
        <f t="shared" si="14"/>
        <v>0.16666666666666666</v>
      </c>
    </row>
    <row r="198" spans="1:35" ht="15">
      <c r="A198" s="170" t="s">
        <v>1421</v>
      </c>
      <c r="B198" s="171" t="s">
        <v>1421</v>
      </c>
      <c r="C198" s="171" t="s">
        <v>1421</v>
      </c>
      <c r="D198" s="171" t="s">
        <v>1251</v>
      </c>
      <c r="E198" s="171" t="s">
        <v>668</v>
      </c>
      <c r="F198" s="171" t="s">
        <v>669</v>
      </c>
      <c r="G198" s="171" t="s">
        <v>670</v>
      </c>
      <c r="H198" s="195">
        <v>2.2374000000000001</v>
      </c>
      <c r="I198" s="171" t="s">
        <v>671</v>
      </c>
      <c r="J198" s="57">
        <v>1</v>
      </c>
      <c r="K198" s="172">
        <v>2021</v>
      </c>
      <c r="L198" s="173" t="s">
        <v>1252</v>
      </c>
      <c r="M198" s="173" t="s">
        <v>998</v>
      </c>
      <c r="N198" s="174" t="s">
        <v>1422</v>
      </c>
      <c r="O198" s="171" t="s">
        <v>2541</v>
      </c>
      <c r="P198" s="171" t="s">
        <v>675</v>
      </c>
      <c r="Q198" s="209">
        <v>1971</v>
      </c>
      <c r="R198" s="171">
        <v>6</v>
      </c>
      <c r="S198" s="171"/>
      <c r="T198" s="173"/>
      <c r="U198" s="171"/>
      <c r="V198" s="171"/>
      <c r="W198" s="171"/>
      <c r="X198" s="57">
        <v>0</v>
      </c>
      <c r="Y198" s="172">
        <v>2</v>
      </c>
      <c r="Z198" s="175" t="s">
        <v>1256</v>
      </c>
      <c r="AA198" s="176">
        <v>2021</v>
      </c>
      <c r="AB198" s="176">
        <v>8</v>
      </c>
      <c r="AC198" s="176">
        <v>6</v>
      </c>
      <c r="AD198" s="177" t="b">
        <f>IF(ISBLANK(GroupMember[[#This Row],[1. Identifiant interne d’exploitation agricole*]]),"",IF(ISERROR(MATCH(GroupMember[[#This Row],[1. Identifiant interne d’exploitation agricole*]],CertifiedCrop[1. Identifiant interne d’exploitation agricole*],0)),FALSE,TRUE))</f>
        <v>1</v>
      </c>
      <c r="AE198" s="177" t="b">
        <f>IF(ISBLANK(GroupMember[[#This Row],[1. Identifiant interne d’exploitation agricole*]]),"",IF(ISERROR(MATCH(GroupMember[[#This Row],[1. Identifiant interne d’exploitation agricole*]],FarmUnit[1. Identifiant interne d’exploitation agricole*],0)),FALSE,TRUE))</f>
        <v>1</v>
      </c>
      <c r="AF198" s="178" t="str">
        <f t="shared" si="12"/>
        <v>OULAI MAURICE</v>
      </c>
      <c r="AG198" s="179" t="str">
        <f t="shared" si="13"/>
        <v>6/8/2021</v>
      </c>
      <c r="AH198" s="180">
        <f t="shared" si="15"/>
        <v>5</v>
      </c>
      <c r="AI198" s="181">
        <f t="shared" si="14"/>
        <v>0.16666666666666666</v>
      </c>
    </row>
    <row r="199" spans="1:35" ht="15">
      <c r="A199" s="170" t="s">
        <v>1423</v>
      </c>
      <c r="B199" s="171" t="s">
        <v>1423</v>
      </c>
      <c r="C199" s="171" t="s">
        <v>1423</v>
      </c>
      <c r="D199" s="171" t="s">
        <v>1251</v>
      </c>
      <c r="E199" s="171" t="s">
        <v>668</v>
      </c>
      <c r="F199" s="171" t="s">
        <v>669</v>
      </c>
      <c r="G199" s="171" t="s">
        <v>670</v>
      </c>
      <c r="H199" s="195">
        <v>2.9401999999999999</v>
      </c>
      <c r="I199" s="171" t="s">
        <v>671</v>
      </c>
      <c r="J199" s="57">
        <v>1</v>
      </c>
      <c r="K199" s="172">
        <v>2021</v>
      </c>
      <c r="L199" s="173" t="s">
        <v>1252</v>
      </c>
      <c r="M199" s="173" t="s">
        <v>1424</v>
      </c>
      <c r="N199" s="174" t="s">
        <v>1425</v>
      </c>
      <c r="O199" s="171" t="s">
        <v>1426</v>
      </c>
      <c r="P199" s="171" t="s">
        <v>720</v>
      </c>
      <c r="Q199" s="209">
        <v>1989</v>
      </c>
      <c r="R199" s="171">
        <v>4</v>
      </c>
      <c r="S199" s="171"/>
      <c r="T199" s="173"/>
      <c r="U199" s="171"/>
      <c r="V199" s="171"/>
      <c r="W199" s="171"/>
      <c r="X199" s="57">
        <v>0</v>
      </c>
      <c r="Y199" s="172">
        <v>2</v>
      </c>
      <c r="Z199" s="175" t="s">
        <v>1256</v>
      </c>
      <c r="AA199" s="176">
        <v>2021</v>
      </c>
      <c r="AB199" s="176">
        <v>7</v>
      </c>
      <c r="AC199" s="176">
        <v>7</v>
      </c>
      <c r="AD199" s="177" t="b">
        <f>IF(ISBLANK(GroupMember[[#This Row],[1. Identifiant interne d’exploitation agricole*]]),"",IF(ISERROR(MATCH(GroupMember[[#This Row],[1. Identifiant interne d’exploitation agricole*]],CertifiedCrop[1. Identifiant interne d’exploitation agricole*],0)),FALSE,TRUE))</f>
        <v>1</v>
      </c>
      <c r="AE199" s="177" t="b">
        <f>IF(ISBLANK(GroupMember[[#This Row],[1. Identifiant interne d’exploitation agricole*]]),"",IF(ISERROR(MATCH(GroupMember[[#This Row],[1. Identifiant interne d’exploitation agricole*]],FarmUnit[1. Identifiant interne d’exploitation agricole*],0)),FALSE,TRUE))</f>
        <v>1</v>
      </c>
      <c r="AF199" s="178" t="str">
        <f t="shared" si="12"/>
        <v>OULAI ELADITH</v>
      </c>
      <c r="AG199" s="179" t="str">
        <f t="shared" si="13"/>
        <v>7/7/2021</v>
      </c>
      <c r="AH199" s="180">
        <f t="shared" si="15"/>
        <v>5</v>
      </c>
      <c r="AI199" s="181">
        <f t="shared" si="14"/>
        <v>0.16666666666666666</v>
      </c>
    </row>
    <row r="200" spans="1:35" ht="15">
      <c r="A200" s="170" t="s">
        <v>1427</v>
      </c>
      <c r="B200" s="171" t="s">
        <v>1427</v>
      </c>
      <c r="C200" s="171" t="s">
        <v>1427</v>
      </c>
      <c r="D200" s="171" t="s">
        <v>1251</v>
      </c>
      <c r="E200" s="171" t="s">
        <v>668</v>
      </c>
      <c r="F200" s="171" t="s">
        <v>669</v>
      </c>
      <c r="G200" s="171" t="s">
        <v>670</v>
      </c>
      <c r="H200" s="195">
        <v>3.2233000000000001</v>
      </c>
      <c r="I200" s="171" t="s">
        <v>671</v>
      </c>
      <c r="J200" s="57">
        <v>1</v>
      </c>
      <c r="K200" s="172">
        <v>2021</v>
      </c>
      <c r="L200" s="173" t="s">
        <v>1428</v>
      </c>
      <c r="M200" s="173" t="s">
        <v>1429</v>
      </c>
      <c r="N200" s="174" t="s">
        <v>1430</v>
      </c>
      <c r="O200" s="171" t="s">
        <v>2542</v>
      </c>
      <c r="P200" s="171" t="s">
        <v>675</v>
      </c>
      <c r="Q200" s="209">
        <v>1972</v>
      </c>
      <c r="R200" s="171">
        <v>8</v>
      </c>
      <c r="S200" s="171"/>
      <c r="T200" s="173"/>
      <c r="U200" s="171"/>
      <c r="V200" s="171"/>
      <c r="W200" s="171"/>
      <c r="X200" s="57">
        <v>0</v>
      </c>
      <c r="Y200" s="172">
        <v>2</v>
      </c>
      <c r="Z200" s="175" t="s">
        <v>1256</v>
      </c>
      <c r="AA200" s="176">
        <v>2021</v>
      </c>
      <c r="AB200" s="176">
        <v>7</v>
      </c>
      <c r="AC200" s="176">
        <v>6</v>
      </c>
      <c r="AD200" s="177" t="b">
        <f>IF(ISBLANK(GroupMember[[#This Row],[1. Identifiant interne d’exploitation agricole*]]),"",IF(ISERROR(MATCH(GroupMember[[#This Row],[1. Identifiant interne d’exploitation agricole*]],CertifiedCrop[1. Identifiant interne d’exploitation agricole*],0)),FALSE,TRUE))</f>
        <v>1</v>
      </c>
      <c r="AE200" s="177" t="b">
        <f>IF(ISBLANK(GroupMember[[#This Row],[1. Identifiant interne d’exploitation agricole*]]),"",IF(ISERROR(MATCH(GroupMember[[#This Row],[1. Identifiant interne d’exploitation agricole*]],FarmUnit[1. Identifiant interne d’exploitation agricole*],0)),FALSE,TRUE))</f>
        <v>1</v>
      </c>
      <c r="AF200" s="178" t="str">
        <f t="shared" si="12"/>
        <v>VEH BERTIN</v>
      </c>
      <c r="AG200" s="179" t="str">
        <f t="shared" si="13"/>
        <v>6/7/2021</v>
      </c>
      <c r="AH200" s="180">
        <f t="shared" si="15"/>
        <v>3</v>
      </c>
      <c r="AI200" s="181">
        <f t="shared" si="14"/>
        <v>0.16666666666666666</v>
      </c>
    </row>
    <row r="201" spans="1:35" ht="15">
      <c r="A201" s="170" t="s">
        <v>1431</v>
      </c>
      <c r="B201" s="171" t="s">
        <v>1431</v>
      </c>
      <c r="C201" s="171" t="s">
        <v>1431</v>
      </c>
      <c r="D201" s="171" t="s">
        <v>1251</v>
      </c>
      <c r="E201" s="171" t="s">
        <v>668</v>
      </c>
      <c r="F201" s="171" t="s">
        <v>669</v>
      </c>
      <c r="G201" s="171" t="s">
        <v>670</v>
      </c>
      <c r="H201" s="195">
        <v>2.0375000000000001</v>
      </c>
      <c r="I201" s="171" t="s">
        <v>671</v>
      </c>
      <c r="J201" s="57">
        <v>1</v>
      </c>
      <c r="K201" s="172">
        <v>2021</v>
      </c>
      <c r="L201" s="173" t="s">
        <v>1432</v>
      </c>
      <c r="M201" s="173" t="s">
        <v>1433</v>
      </c>
      <c r="N201" s="174" t="s">
        <v>1434</v>
      </c>
      <c r="O201" s="171" t="s">
        <v>1435</v>
      </c>
      <c r="P201" s="171" t="s">
        <v>675</v>
      </c>
      <c r="Q201" s="209">
        <v>1963</v>
      </c>
      <c r="R201" s="171">
        <v>2</v>
      </c>
      <c r="S201" s="171"/>
      <c r="T201" s="173"/>
      <c r="U201" s="171"/>
      <c r="V201" s="171"/>
      <c r="W201" s="171"/>
      <c r="X201" s="57">
        <v>0</v>
      </c>
      <c r="Y201" s="172">
        <v>2</v>
      </c>
      <c r="Z201" s="175" t="s">
        <v>1256</v>
      </c>
      <c r="AA201" s="176">
        <v>2021</v>
      </c>
      <c r="AB201" s="176">
        <v>7</v>
      </c>
      <c r="AC201" s="176">
        <v>23</v>
      </c>
      <c r="AD201" s="177" t="b">
        <f>IF(ISBLANK(GroupMember[[#This Row],[1. Identifiant interne d’exploitation agricole*]]),"",IF(ISERROR(MATCH(GroupMember[[#This Row],[1. Identifiant interne d’exploitation agricole*]],CertifiedCrop[1. Identifiant interne d’exploitation agricole*],0)),FALSE,TRUE))</f>
        <v>1</v>
      </c>
      <c r="AE201" s="177" t="b">
        <f>IF(ISBLANK(GroupMember[[#This Row],[1. Identifiant interne d’exploitation agricole*]]),"",IF(ISERROR(MATCH(GroupMember[[#This Row],[1. Identifiant interne d’exploitation agricole*]],FarmUnit[1. Identifiant interne d’exploitation agricole*],0)),FALSE,TRUE))</f>
        <v>1</v>
      </c>
      <c r="AF201" s="178" t="str">
        <f t="shared" si="12"/>
        <v>MANH SEVERIN</v>
      </c>
      <c r="AG201" s="179" t="str">
        <f t="shared" si="13"/>
        <v>23/7/2021</v>
      </c>
      <c r="AH201" s="180">
        <f t="shared" si="15"/>
        <v>4</v>
      </c>
      <c r="AI201" s="181">
        <f t="shared" si="14"/>
        <v>0.16666666666666666</v>
      </c>
    </row>
    <row r="202" spans="1:35" ht="15">
      <c r="A202" s="170" t="s">
        <v>1436</v>
      </c>
      <c r="B202" s="171" t="s">
        <v>1436</v>
      </c>
      <c r="C202" s="171" t="s">
        <v>1436</v>
      </c>
      <c r="D202" s="171" t="s">
        <v>1251</v>
      </c>
      <c r="E202" s="171" t="s">
        <v>668</v>
      </c>
      <c r="F202" s="171" t="s">
        <v>669</v>
      </c>
      <c r="G202" s="171" t="s">
        <v>670</v>
      </c>
      <c r="H202" s="195">
        <v>3.8395999999999999</v>
      </c>
      <c r="I202" s="171" t="s">
        <v>671</v>
      </c>
      <c r="J202" s="57">
        <v>1</v>
      </c>
      <c r="K202" s="172">
        <v>2021</v>
      </c>
      <c r="L202" s="173" t="s">
        <v>1437</v>
      </c>
      <c r="M202" s="173" t="s">
        <v>1111</v>
      </c>
      <c r="N202" s="174" t="s">
        <v>1438</v>
      </c>
      <c r="O202" s="171" t="s">
        <v>1439</v>
      </c>
      <c r="P202" s="171" t="s">
        <v>675</v>
      </c>
      <c r="Q202" s="209">
        <v>1963</v>
      </c>
      <c r="R202" s="171">
        <v>8</v>
      </c>
      <c r="S202" s="171"/>
      <c r="T202" s="173"/>
      <c r="U202" s="171"/>
      <c r="V202" s="171"/>
      <c r="W202" s="171"/>
      <c r="X202" s="57">
        <v>0</v>
      </c>
      <c r="Y202" s="172">
        <v>2</v>
      </c>
      <c r="Z202" s="175" t="s">
        <v>1256</v>
      </c>
      <c r="AA202" s="176">
        <v>2021</v>
      </c>
      <c r="AB202" s="176">
        <v>8</v>
      </c>
      <c r="AC202" s="176">
        <v>3</v>
      </c>
      <c r="AD202" s="177" t="b">
        <f>IF(ISBLANK(GroupMember[[#This Row],[1. Identifiant interne d’exploitation agricole*]]),"",IF(ISERROR(MATCH(GroupMember[[#This Row],[1. Identifiant interne d’exploitation agricole*]],CertifiedCrop[1. Identifiant interne d’exploitation agricole*],0)),FALSE,TRUE))</f>
        <v>1</v>
      </c>
      <c r="AE202" s="177" t="b">
        <f>IF(ISBLANK(GroupMember[[#This Row],[1. Identifiant interne d’exploitation agricole*]]),"",IF(ISERROR(MATCH(GroupMember[[#This Row],[1. Identifiant interne d’exploitation agricole*]],FarmUnit[1. Identifiant interne d’exploitation agricole*],0)),FALSE,TRUE))</f>
        <v>1</v>
      </c>
      <c r="AF202" s="178" t="str">
        <f t="shared" si="12"/>
        <v>GONSSAN ANTOINE</v>
      </c>
      <c r="AG202" s="179" t="str">
        <f t="shared" si="13"/>
        <v>3/8/2021</v>
      </c>
      <c r="AH202" s="180">
        <f t="shared" si="15"/>
        <v>5</v>
      </c>
      <c r="AI202" s="181">
        <f t="shared" si="14"/>
        <v>0.16666666666666666</v>
      </c>
    </row>
    <row r="203" spans="1:35" ht="15">
      <c r="A203" s="170" t="s">
        <v>1440</v>
      </c>
      <c r="B203" s="171" t="s">
        <v>1440</v>
      </c>
      <c r="C203" s="171" t="s">
        <v>1440</v>
      </c>
      <c r="D203" s="171" t="s">
        <v>1251</v>
      </c>
      <c r="E203" s="171" t="s">
        <v>668</v>
      </c>
      <c r="F203" s="171" t="s">
        <v>669</v>
      </c>
      <c r="G203" s="171" t="s">
        <v>670</v>
      </c>
      <c r="H203" s="195">
        <v>2</v>
      </c>
      <c r="I203" s="171" t="s">
        <v>671</v>
      </c>
      <c r="J203" s="57">
        <v>1</v>
      </c>
      <c r="K203" s="172">
        <v>2021</v>
      </c>
      <c r="L203" s="173" t="s">
        <v>1441</v>
      </c>
      <c r="M203" s="173" t="s">
        <v>1442</v>
      </c>
      <c r="N203" s="174" t="s">
        <v>1443</v>
      </c>
      <c r="O203" s="171" t="s">
        <v>1444</v>
      </c>
      <c r="P203" s="171" t="s">
        <v>720</v>
      </c>
      <c r="Q203" s="209">
        <v>1980</v>
      </c>
      <c r="R203" s="171">
        <v>8</v>
      </c>
      <c r="S203" s="171"/>
      <c r="T203" s="173"/>
      <c r="U203" s="171"/>
      <c r="V203" s="171"/>
      <c r="W203" s="171"/>
      <c r="X203" s="57">
        <v>0</v>
      </c>
      <c r="Y203" s="172">
        <v>2</v>
      </c>
      <c r="Z203" s="175" t="s">
        <v>1256</v>
      </c>
      <c r="AA203" s="176">
        <v>2021</v>
      </c>
      <c r="AB203" s="176">
        <v>8</v>
      </c>
      <c r="AC203" s="176">
        <v>21</v>
      </c>
      <c r="AD203" s="177" t="b">
        <f>IF(ISBLANK(GroupMember[[#This Row],[1. Identifiant interne d’exploitation agricole*]]),"",IF(ISERROR(MATCH(GroupMember[[#This Row],[1. Identifiant interne d’exploitation agricole*]],CertifiedCrop[1. Identifiant interne d’exploitation agricole*],0)),FALSE,TRUE))</f>
        <v>1</v>
      </c>
      <c r="AE203" s="177" t="b">
        <f>IF(ISBLANK(GroupMember[[#This Row],[1. Identifiant interne d’exploitation agricole*]]),"",IF(ISERROR(MATCH(GroupMember[[#This Row],[1. Identifiant interne d’exploitation agricole*]],FarmUnit[1. Identifiant interne d’exploitation agricole*],0)),FALSE,TRUE))</f>
        <v>1</v>
      </c>
      <c r="AF203" s="178" t="str">
        <f t="shared" si="12"/>
        <v>BOUE PATRICIA</v>
      </c>
      <c r="AG203" s="179" t="str">
        <f t="shared" si="13"/>
        <v>21/8/2021</v>
      </c>
      <c r="AH203" s="180">
        <f t="shared" si="15"/>
        <v>2</v>
      </c>
      <c r="AI203" s="181">
        <f t="shared" si="14"/>
        <v>0.16666666666666666</v>
      </c>
    </row>
    <row r="204" spans="1:35" ht="15">
      <c r="A204" s="170" t="s">
        <v>1445</v>
      </c>
      <c r="B204" s="171" t="s">
        <v>1445</v>
      </c>
      <c r="C204" s="171" t="s">
        <v>1445</v>
      </c>
      <c r="D204" s="171" t="s">
        <v>1251</v>
      </c>
      <c r="E204" s="171" t="s">
        <v>668</v>
      </c>
      <c r="F204" s="171" t="s">
        <v>669</v>
      </c>
      <c r="G204" s="171" t="s">
        <v>670</v>
      </c>
      <c r="H204" s="195">
        <v>7.6486000000000001</v>
      </c>
      <c r="I204" s="171" t="s">
        <v>671</v>
      </c>
      <c r="J204" s="57">
        <v>1</v>
      </c>
      <c r="K204" s="172">
        <v>2021</v>
      </c>
      <c r="L204" s="173" t="s">
        <v>1446</v>
      </c>
      <c r="M204" s="173" t="s">
        <v>1447</v>
      </c>
      <c r="N204" s="174" t="s">
        <v>1448</v>
      </c>
      <c r="O204" s="171" t="s">
        <v>2543</v>
      </c>
      <c r="P204" s="171" t="s">
        <v>675</v>
      </c>
      <c r="Q204" s="209">
        <v>1987</v>
      </c>
      <c r="R204" s="171">
        <v>7</v>
      </c>
      <c r="S204" s="171"/>
      <c r="T204" s="173"/>
      <c r="U204" s="171"/>
      <c r="V204" s="171"/>
      <c r="W204" s="171"/>
      <c r="X204" s="57">
        <v>3</v>
      </c>
      <c r="Y204" s="172">
        <v>5</v>
      </c>
      <c r="Z204" s="175" t="s">
        <v>1256</v>
      </c>
      <c r="AA204" s="176">
        <v>2021</v>
      </c>
      <c r="AB204" s="176">
        <v>7</v>
      </c>
      <c r="AC204" s="176">
        <v>22</v>
      </c>
      <c r="AD204" s="177" t="b">
        <f>IF(ISBLANK(GroupMember[[#This Row],[1. Identifiant interne d’exploitation agricole*]]),"",IF(ISERROR(MATCH(GroupMember[[#This Row],[1. Identifiant interne d’exploitation agricole*]],CertifiedCrop[1. Identifiant interne d’exploitation agricole*],0)),FALSE,TRUE))</f>
        <v>1</v>
      </c>
      <c r="AE204" s="177" t="b">
        <f>IF(ISBLANK(GroupMember[[#This Row],[1. Identifiant interne d’exploitation agricole*]]),"",IF(ISERROR(MATCH(GroupMember[[#This Row],[1. Identifiant interne d’exploitation agricole*]],FarmUnit[1. Identifiant interne d’exploitation agricole*],0)),FALSE,TRUE))</f>
        <v>1</v>
      </c>
      <c r="AF204" s="178" t="str">
        <f t="shared" si="12"/>
        <v>NEKELE DAN ELI</v>
      </c>
      <c r="AG204" s="179" t="str">
        <f t="shared" si="13"/>
        <v>22/7/2021</v>
      </c>
      <c r="AH204" s="180">
        <f t="shared" si="15"/>
        <v>5</v>
      </c>
      <c r="AI204" s="181">
        <f t="shared" si="14"/>
        <v>3.4166666666666665</v>
      </c>
    </row>
    <row r="205" spans="1:35" ht="15">
      <c r="A205" s="170" t="s">
        <v>1449</v>
      </c>
      <c r="B205" s="171" t="s">
        <v>1449</v>
      </c>
      <c r="C205" s="171" t="s">
        <v>1449</v>
      </c>
      <c r="D205" s="171" t="s">
        <v>1251</v>
      </c>
      <c r="E205" s="171" t="s">
        <v>668</v>
      </c>
      <c r="F205" s="171" t="s">
        <v>669</v>
      </c>
      <c r="G205" s="171" t="s">
        <v>670</v>
      </c>
      <c r="H205" s="195">
        <v>1.5627</v>
      </c>
      <c r="I205" s="171" t="s">
        <v>671</v>
      </c>
      <c r="J205" s="57">
        <v>1</v>
      </c>
      <c r="K205" s="172">
        <v>2021</v>
      </c>
      <c r="L205" s="173" t="s">
        <v>1450</v>
      </c>
      <c r="M205" s="173" t="s">
        <v>1253</v>
      </c>
      <c r="N205" s="174" t="s">
        <v>884</v>
      </c>
      <c r="O205" s="171" t="s">
        <v>1451</v>
      </c>
      <c r="P205" s="171" t="s">
        <v>720</v>
      </c>
      <c r="Q205" s="209">
        <v>1985</v>
      </c>
      <c r="R205" s="171">
        <v>1</v>
      </c>
      <c r="S205" s="171"/>
      <c r="T205" s="173"/>
      <c r="U205" s="171"/>
      <c r="V205" s="171"/>
      <c r="W205" s="171"/>
      <c r="X205" s="57">
        <v>0</v>
      </c>
      <c r="Y205" s="172">
        <v>2</v>
      </c>
      <c r="Z205" s="175" t="s">
        <v>1256</v>
      </c>
      <c r="AA205" s="176">
        <v>2021</v>
      </c>
      <c r="AB205" s="176">
        <v>7</v>
      </c>
      <c r="AC205" s="176">
        <v>7</v>
      </c>
      <c r="AD205" s="177" t="b">
        <f>IF(ISBLANK(GroupMember[[#This Row],[1. Identifiant interne d’exploitation agricole*]]),"",IF(ISERROR(MATCH(GroupMember[[#This Row],[1. Identifiant interne d’exploitation agricole*]],CertifiedCrop[1. Identifiant interne d’exploitation agricole*],0)),FALSE,TRUE))</f>
        <v>1</v>
      </c>
      <c r="AE205" s="177" t="b">
        <f>IF(ISBLANK(GroupMember[[#This Row],[1. Identifiant interne d’exploitation agricole*]]),"",IF(ISERROR(MATCH(GroupMember[[#This Row],[1. Identifiant interne d’exploitation agricole*]],FarmUnit[1. Identifiant interne d’exploitation agricole*],0)),FALSE,TRUE))</f>
        <v>1</v>
      </c>
      <c r="AF205" s="178" t="str">
        <f t="shared" si="12"/>
        <v>GONSAN TOMAYE SYLVIE</v>
      </c>
      <c r="AG205" s="179" t="str">
        <f t="shared" si="13"/>
        <v>7/7/2021</v>
      </c>
      <c r="AH205" s="180">
        <f t="shared" si="15"/>
        <v>5</v>
      </c>
      <c r="AI205" s="181">
        <f t="shared" si="14"/>
        <v>0.16666666666666666</v>
      </c>
    </row>
    <row r="206" spans="1:35" ht="15">
      <c r="A206" s="170" t="s">
        <v>1452</v>
      </c>
      <c r="B206" s="171" t="s">
        <v>1452</v>
      </c>
      <c r="C206" s="171" t="s">
        <v>1452</v>
      </c>
      <c r="D206" s="171" t="s">
        <v>1251</v>
      </c>
      <c r="E206" s="171" t="s">
        <v>668</v>
      </c>
      <c r="F206" s="171" t="s">
        <v>669</v>
      </c>
      <c r="G206" s="171" t="s">
        <v>670</v>
      </c>
      <c r="H206" s="195">
        <v>2.1949000000000001</v>
      </c>
      <c r="I206" s="171" t="s">
        <v>671</v>
      </c>
      <c r="J206" s="57">
        <v>1</v>
      </c>
      <c r="K206" s="172">
        <v>2021</v>
      </c>
      <c r="L206" s="173" t="s">
        <v>1453</v>
      </c>
      <c r="M206" s="173" t="s">
        <v>1454</v>
      </c>
      <c r="N206" s="174" t="s">
        <v>1455</v>
      </c>
      <c r="O206" s="171" t="s">
        <v>1456</v>
      </c>
      <c r="P206" s="171" t="s">
        <v>675</v>
      </c>
      <c r="Q206" s="209">
        <v>1987</v>
      </c>
      <c r="R206" s="171">
        <v>5</v>
      </c>
      <c r="S206" s="171"/>
      <c r="T206" s="173"/>
      <c r="U206" s="171"/>
      <c r="V206" s="171"/>
      <c r="W206" s="171"/>
      <c r="X206" s="57">
        <v>0</v>
      </c>
      <c r="Y206" s="172">
        <v>2</v>
      </c>
      <c r="Z206" s="175" t="s">
        <v>1256</v>
      </c>
      <c r="AA206" s="176">
        <v>2021</v>
      </c>
      <c r="AB206" s="176">
        <v>7</v>
      </c>
      <c r="AC206" s="176">
        <v>29</v>
      </c>
      <c r="AD206" s="177" t="b">
        <f>IF(ISBLANK(GroupMember[[#This Row],[1. Identifiant interne d’exploitation agricole*]]),"",IF(ISERROR(MATCH(GroupMember[[#This Row],[1. Identifiant interne d’exploitation agricole*]],CertifiedCrop[1. Identifiant interne d’exploitation agricole*],0)),FALSE,TRUE))</f>
        <v>1</v>
      </c>
      <c r="AE206" s="177" t="b">
        <f>IF(ISBLANK(GroupMember[[#This Row],[1. Identifiant interne d’exploitation agricole*]]),"",IF(ISERROR(MATCH(GroupMember[[#This Row],[1. Identifiant interne d’exploitation agricole*]],FarmUnit[1. Identifiant interne d’exploitation agricole*],0)),FALSE,TRUE))</f>
        <v>1</v>
      </c>
      <c r="AF206" s="178" t="str">
        <f t="shared" si="12"/>
        <v>OULAI DODO YVES</v>
      </c>
      <c r="AG206" s="179" t="str">
        <f t="shared" si="13"/>
        <v>29/7/2021</v>
      </c>
      <c r="AH206" s="180">
        <f t="shared" si="15"/>
        <v>5</v>
      </c>
      <c r="AI206" s="181">
        <f t="shared" si="14"/>
        <v>0.16666666666666666</v>
      </c>
    </row>
    <row r="207" spans="1:35" ht="15">
      <c r="A207" s="170" t="s">
        <v>1457</v>
      </c>
      <c r="B207" s="171" t="s">
        <v>1457</v>
      </c>
      <c r="C207" s="171" t="s">
        <v>1457</v>
      </c>
      <c r="D207" s="171" t="s">
        <v>1251</v>
      </c>
      <c r="E207" s="171" t="s">
        <v>668</v>
      </c>
      <c r="F207" s="171" t="s">
        <v>669</v>
      </c>
      <c r="G207" s="171" t="s">
        <v>670</v>
      </c>
      <c r="H207" s="195">
        <v>1.7839</v>
      </c>
      <c r="I207" s="171" t="s">
        <v>671</v>
      </c>
      <c r="J207" s="57">
        <v>1</v>
      </c>
      <c r="K207" s="172">
        <v>2021</v>
      </c>
      <c r="L207" s="173" t="s">
        <v>1458</v>
      </c>
      <c r="M207" s="173" t="s">
        <v>1459</v>
      </c>
      <c r="N207" s="174" t="s">
        <v>1460</v>
      </c>
      <c r="O207" s="171" t="s">
        <v>2544</v>
      </c>
      <c r="P207" s="171" t="s">
        <v>675</v>
      </c>
      <c r="Q207" s="209">
        <v>2000</v>
      </c>
      <c r="R207" s="171">
        <v>3</v>
      </c>
      <c r="S207" s="171"/>
      <c r="T207" s="173"/>
      <c r="U207" s="171"/>
      <c r="V207" s="171"/>
      <c r="W207" s="171"/>
      <c r="X207" s="57">
        <v>0</v>
      </c>
      <c r="Y207" s="172">
        <v>2</v>
      </c>
      <c r="Z207" s="175" t="s">
        <v>1256</v>
      </c>
      <c r="AA207" s="176">
        <v>2021</v>
      </c>
      <c r="AB207" s="176">
        <v>8</v>
      </c>
      <c r="AC207" s="176">
        <v>12</v>
      </c>
      <c r="AD207" s="177" t="b">
        <f>IF(ISBLANK(GroupMember[[#This Row],[1. Identifiant interne d’exploitation agricole*]]),"",IF(ISERROR(MATCH(GroupMember[[#This Row],[1. Identifiant interne d’exploitation agricole*]],CertifiedCrop[1. Identifiant interne d’exploitation agricole*],0)),FALSE,TRUE))</f>
        <v>1</v>
      </c>
      <c r="AE207" s="177" t="b">
        <f>IF(ISBLANK(GroupMember[[#This Row],[1. Identifiant interne d’exploitation agricole*]]),"",IF(ISERROR(MATCH(GroupMember[[#This Row],[1. Identifiant interne d’exploitation agricole*]],FarmUnit[1. Identifiant interne d’exploitation agricole*],0)),FALSE,TRUE))</f>
        <v>1</v>
      </c>
      <c r="AF207" s="178" t="str">
        <f t="shared" si="12"/>
        <v>DAN OULAI FABRICE</v>
      </c>
      <c r="AG207" s="179" t="str">
        <f t="shared" si="13"/>
        <v>12/8/2021</v>
      </c>
      <c r="AH207" s="180">
        <f t="shared" si="15"/>
        <v>5</v>
      </c>
      <c r="AI207" s="181">
        <f t="shared" si="14"/>
        <v>0.16666666666666666</v>
      </c>
    </row>
    <row r="208" spans="1:35" ht="15">
      <c r="A208" s="170" t="s">
        <v>1461</v>
      </c>
      <c r="B208" s="171" t="s">
        <v>1461</v>
      </c>
      <c r="C208" s="171" t="s">
        <v>1461</v>
      </c>
      <c r="D208" s="171" t="s">
        <v>1251</v>
      </c>
      <c r="E208" s="171" t="s">
        <v>668</v>
      </c>
      <c r="F208" s="171" t="s">
        <v>669</v>
      </c>
      <c r="G208" s="171" t="s">
        <v>670</v>
      </c>
      <c r="H208" s="195">
        <v>1.7566999999999999</v>
      </c>
      <c r="I208" s="171" t="s">
        <v>671</v>
      </c>
      <c r="J208" s="57">
        <v>1</v>
      </c>
      <c r="K208" s="172">
        <v>2021</v>
      </c>
      <c r="L208" s="173" t="s">
        <v>1462</v>
      </c>
      <c r="M208" s="173" t="s">
        <v>712</v>
      </c>
      <c r="N208" s="174" t="s">
        <v>1463</v>
      </c>
      <c r="O208" s="171" t="s">
        <v>1464</v>
      </c>
      <c r="P208" s="171" t="s">
        <v>675</v>
      </c>
      <c r="Q208" s="209">
        <v>1990</v>
      </c>
      <c r="R208" s="171">
        <v>5</v>
      </c>
      <c r="S208" s="171"/>
      <c r="T208" s="173"/>
      <c r="U208" s="171"/>
      <c r="V208" s="171"/>
      <c r="W208" s="171"/>
      <c r="X208" s="57">
        <v>0</v>
      </c>
      <c r="Y208" s="172">
        <v>2</v>
      </c>
      <c r="Z208" s="175" t="s">
        <v>1256</v>
      </c>
      <c r="AA208" s="176">
        <v>2021</v>
      </c>
      <c r="AB208" s="176">
        <v>8</v>
      </c>
      <c r="AC208" s="176">
        <v>19</v>
      </c>
      <c r="AD208" s="177" t="b">
        <f>IF(ISBLANK(GroupMember[[#This Row],[1. Identifiant interne d’exploitation agricole*]]),"",IF(ISERROR(MATCH(GroupMember[[#This Row],[1. Identifiant interne d’exploitation agricole*]],CertifiedCrop[1. Identifiant interne d’exploitation agricole*],0)),FALSE,TRUE))</f>
        <v>1</v>
      </c>
      <c r="AE208" s="177" t="b">
        <f>IF(ISBLANK(GroupMember[[#This Row],[1. Identifiant interne d’exploitation agricole*]]),"",IF(ISERROR(MATCH(GroupMember[[#This Row],[1. Identifiant interne d’exploitation agricole*]],FarmUnit[1. Identifiant interne d’exploitation agricole*],0)),FALSE,TRUE))</f>
        <v>1</v>
      </c>
      <c r="AF208" s="178" t="str">
        <f t="shared" si="12"/>
        <v>YOLA ALFRED</v>
      </c>
      <c r="AG208" s="179" t="str">
        <f t="shared" si="13"/>
        <v>19/8/2021</v>
      </c>
      <c r="AH208" s="180">
        <f t="shared" si="15"/>
        <v>5</v>
      </c>
      <c r="AI208" s="181">
        <f t="shared" si="14"/>
        <v>0.16666666666666666</v>
      </c>
    </row>
    <row r="209" spans="1:35" ht="15">
      <c r="A209" s="170" t="s">
        <v>1465</v>
      </c>
      <c r="B209" s="171" t="s">
        <v>1465</v>
      </c>
      <c r="C209" s="171" t="s">
        <v>1465</v>
      </c>
      <c r="D209" s="171" t="s">
        <v>1251</v>
      </c>
      <c r="E209" s="171" t="s">
        <v>668</v>
      </c>
      <c r="F209" s="171" t="s">
        <v>669</v>
      </c>
      <c r="G209" s="171" t="s">
        <v>670</v>
      </c>
      <c r="H209" s="195">
        <v>2.5925000000000002</v>
      </c>
      <c r="I209" s="171" t="s">
        <v>671</v>
      </c>
      <c r="J209" s="57">
        <v>1</v>
      </c>
      <c r="K209" s="172">
        <v>2021</v>
      </c>
      <c r="L209" s="173" t="s">
        <v>1466</v>
      </c>
      <c r="M209" s="173" t="s">
        <v>1419</v>
      </c>
      <c r="N209" s="174" t="s">
        <v>1467</v>
      </c>
      <c r="O209" s="171" t="s">
        <v>1468</v>
      </c>
      <c r="P209" s="171" t="s">
        <v>675</v>
      </c>
      <c r="Q209" s="209">
        <v>1979</v>
      </c>
      <c r="R209" s="171">
        <v>6</v>
      </c>
      <c r="S209" s="171"/>
      <c r="T209" s="173"/>
      <c r="U209" s="171"/>
      <c r="V209" s="171"/>
      <c r="W209" s="171"/>
      <c r="X209" s="57">
        <v>0</v>
      </c>
      <c r="Y209" s="172">
        <v>2</v>
      </c>
      <c r="Z209" s="175" t="s">
        <v>1256</v>
      </c>
      <c r="AA209" s="176">
        <v>2021</v>
      </c>
      <c r="AB209" s="176">
        <v>8</v>
      </c>
      <c r="AC209" s="176">
        <v>10</v>
      </c>
      <c r="AD209" s="177" t="b">
        <f>IF(ISBLANK(GroupMember[[#This Row],[1. Identifiant interne d’exploitation agricole*]]),"",IF(ISERROR(MATCH(GroupMember[[#This Row],[1. Identifiant interne d’exploitation agricole*]],CertifiedCrop[1. Identifiant interne d’exploitation agricole*],0)),FALSE,TRUE))</f>
        <v>1</v>
      </c>
      <c r="AE209" s="177" t="b">
        <f>IF(ISBLANK(GroupMember[[#This Row],[1. Identifiant interne d’exploitation agricole*]]),"",IF(ISERROR(MATCH(GroupMember[[#This Row],[1. Identifiant interne d’exploitation agricole*]],FarmUnit[1. Identifiant interne d’exploitation agricole*],0)),FALSE,TRUE))</f>
        <v>1</v>
      </c>
      <c r="AF209" s="178" t="str">
        <f t="shared" si="12"/>
        <v>TANOH KOUASSI EMMANUEL</v>
      </c>
      <c r="AG209" s="179" t="str">
        <f t="shared" si="13"/>
        <v>10/8/2021</v>
      </c>
      <c r="AH209" s="180">
        <f t="shared" si="15"/>
        <v>4</v>
      </c>
      <c r="AI209" s="181">
        <f t="shared" si="14"/>
        <v>0.16666666666666666</v>
      </c>
    </row>
    <row r="210" spans="1:35" ht="15">
      <c r="A210" s="170" t="s">
        <v>1469</v>
      </c>
      <c r="B210" s="171" t="s">
        <v>1469</v>
      </c>
      <c r="C210" s="171" t="s">
        <v>1469</v>
      </c>
      <c r="D210" s="171" t="s">
        <v>1251</v>
      </c>
      <c r="E210" s="171" t="s">
        <v>668</v>
      </c>
      <c r="F210" s="171" t="s">
        <v>669</v>
      </c>
      <c r="G210" s="171" t="s">
        <v>670</v>
      </c>
      <c r="H210" s="195">
        <v>2.2755999999999998</v>
      </c>
      <c r="I210" s="171" t="s">
        <v>671</v>
      </c>
      <c r="J210" s="57">
        <v>1</v>
      </c>
      <c r="K210" s="172">
        <v>2021</v>
      </c>
      <c r="L210" s="173" t="s">
        <v>1470</v>
      </c>
      <c r="M210" s="173" t="s">
        <v>1471</v>
      </c>
      <c r="N210" s="174" t="s">
        <v>1472</v>
      </c>
      <c r="O210" s="171" t="s">
        <v>2545</v>
      </c>
      <c r="P210" s="171" t="s">
        <v>675</v>
      </c>
      <c r="Q210" s="209">
        <v>1926</v>
      </c>
      <c r="R210" s="171">
        <v>3</v>
      </c>
      <c r="S210" s="171"/>
      <c r="T210" s="173"/>
      <c r="U210" s="171"/>
      <c r="V210" s="171"/>
      <c r="W210" s="171"/>
      <c r="X210" s="57">
        <v>0</v>
      </c>
      <c r="Y210" s="172">
        <v>2</v>
      </c>
      <c r="Z210" s="175" t="s">
        <v>1256</v>
      </c>
      <c r="AA210" s="176">
        <v>2021</v>
      </c>
      <c r="AB210" s="176">
        <v>8</v>
      </c>
      <c r="AC210" s="176">
        <v>11</v>
      </c>
      <c r="AD210" s="177" t="b">
        <f>IF(ISBLANK(GroupMember[[#This Row],[1. Identifiant interne d’exploitation agricole*]]),"",IF(ISERROR(MATCH(GroupMember[[#This Row],[1. Identifiant interne d’exploitation agricole*]],CertifiedCrop[1. Identifiant interne d’exploitation agricole*],0)),FALSE,TRUE))</f>
        <v>1</v>
      </c>
      <c r="AE210" s="177" t="b">
        <f>IF(ISBLANK(GroupMember[[#This Row],[1. Identifiant interne d’exploitation agricole*]]),"",IF(ISERROR(MATCH(GroupMember[[#This Row],[1. Identifiant interne d’exploitation agricole*]],FarmUnit[1. Identifiant interne d’exploitation agricole*],0)),FALSE,TRUE))</f>
        <v>1</v>
      </c>
      <c r="AF210" s="178" t="str">
        <f t="shared" si="12"/>
        <v>AMANI KOUAKOU EDOUARD</v>
      </c>
      <c r="AG210" s="179" t="str">
        <f t="shared" si="13"/>
        <v>11/8/2021</v>
      </c>
      <c r="AH210" s="180">
        <f t="shared" si="15"/>
        <v>4</v>
      </c>
      <c r="AI210" s="181">
        <f t="shared" si="14"/>
        <v>0.16666666666666666</v>
      </c>
    </row>
    <row r="211" spans="1:35" ht="15">
      <c r="A211" s="170" t="s">
        <v>1473</v>
      </c>
      <c r="B211" s="171" t="s">
        <v>1473</v>
      </c>
      <c r="C211" s="171" t="s">
        <v>1473</v>
      </c>
      <c r="D211" s="171" t="s">
        <v>1251</v>
      </c>
      <c r="E211" s="171" t="s">
        <v>668</v>
      </c>
      <c r="F211" s="171" t="s">
        <v>669</v>
      </c>
      <c r="G211" s="171" t="s">
        <v>670</v>
      </c>
      <c r="H211" s="195">
        <v>1.9550000000000001</v>
      </c>
      <c r="I211" s="171" t="s">
        <v>671</v>
      </c>
      <c r="J211" s="57">
        <v>1</v>
      </c>
      <c r="K211" s="172">
        <v>2021</v>
      </c>
      <c r="L211" s="173" t="s">
        <v>1474</v>
      </c>
      <c r="M211" s="173" t="s">
        <v>1475</v>
      </c>
      <c r="N211" s="174" t="s">
        <v>1476</v>
      </c>
      <c r="O211" s="171" t="s">
        <v>1477</v>
      </c>
      <c r="P211" s="171" t="s">
        <v>675</v>
      </c>
      <c r="Q211" s="209">
        <v>1990</v>
      </c>
      <c r="R211" s="171">
        <v>6</v>
      </c>
      <c r="S211" s="171"/>
      <c r="T211" s="173"/>
      <c r="U211" s="171"/>
      <c r="V211" s="171"/>
      <c r="W211" s="171"/>
      <c r="X211" s="57">
        <v>0</v>
      </c>
      <c r="Y211" s="172">
        <v>2</v>
      </c>
      <c r="Z211" s="175" t="s">
        <v>1256</v>
      </c>
      <c r="AA211" s="176">
        <v>2021</v>
      </c>
      <c r="AB211" s="176">
        <v>7</v>
      </c>
      <c r="AC211" s="176">
        <v>27</v>
      </c>
      <c r="AD211" s="177" t="b">
        <f>IF(ISBLANK(GroupMember[[#This Row],[1. Identifiant interne d’exploitation agricole*]]),"",IF(ISERROR(MATCH(GroupMember[[#This Row],[1. Identifiant interne d’exploitation agricole*]],CertifiedCrop[1. Identifiant interne d’exploitation agricole*],0)),FALSE,TRUE))</f>
        <v>1</v>
      </c>
      <c r="AE211" s="177" t="b">
        <f>IF(ISBLANK(GroupMember[[#This Row],[1. Identifiant interne d’exploitation agricole*]]),"",IF(ISERROR(MATCH(GroupMember[[#This Row],[1. Identifiant interne d’exploitation agricole*]],FarmUnit[1. Identifiant interne d’exploitation agricole*],0)),FALSE,TRUE))</f>
        <v>1</v>
      </c>
      <c r="AF211" s="178" t="str">
        <f t="shared" si="12"/>
        <v>KONAN KOUAKOU FIRMIN</v>
      </c>
      <c r="AG211" s="179" t="str">
        <f t="shared" si="13"/>
        <v>27/7/2021</v>
      </c>
      <c r="AH211" s="180">
        <f t="shared" si="15"/>
        <v>6</v>
      </c>
      <c r="AI211" s="181">
        <f t="shared" si="14"/>
        <v>0.16666666666666666</v>
      </c>
    </row>
    <row r="212" spans="1:35" ht="15">
      <c r="A212" s="170" t="s">
        <v>1478</v>
      </c>
      <c r="B212" s="171" t="s">
        <v>1478</v>
      </c>
      <c r="C212" s="171" t="s">
        <v>1478</v>
      </c>
      <c r="D212" s="171" t="s">
        <v>1251</v>
      </c>
      <c r="E212" s="171" t="s">
        <v>668</v>
      </c>
      <c r="F212" s="171" t="s">
        <v>669</v>
      </c>
      <c r="G212" s="171" t="s">
        <v>670</v>
      </c>
      <c r="H212" s="195">
        <v>2.4809999999999999</v>
      </c>
      <c r="I212" s="171" t="s">
        <v>671</v>
      </c>
      <c r="J212" s="57">
        <v>1</v>
      </c>
      <c r="K212" s="172">
        <v>2021</v>
      </c>
      <c r="L212" s="173" t="s">
        <v>1479</v>
      </c>
      <c r="M212" s="173" t="s">
        <v>1480</v>
      </c>
      <c r="N212" s="174" t="s">
        <v>1481</v>
      </c>
      <c r="O212" s="171" t="s">
        <v>1482</v>
      </c>
      <c r="P212" s="171" t="s">
        <v>675</v>
      </c>
      <c r="Q212" s="209">
        <v>1993</v>
      </c>
      <c r="R212" s="171">
        <v>7</v>
      </c>
      <c r="S212" s="171"/>
      <c r="T212" s="173"/>
      <c r="U212" s="171"/>
      <c r="V212" s="171"/>
      <c r="W212" s="171"/>
      <c r="X212" s="57">
        <v>0</v>
      </c>
      <c r="Y212" s="172">
        <v>2</v>
      </c>
      <c r="Z212" s="175" t="s">
        <v>1256</v>
      </c>
      <c r="AA212" s="176">
        <v>2021</v>
      </c>
      <c r="AB212" s="176">
        <v>7</v>
      </c>
      <c r="AC212" s="176">
        <v>28</v>
      </c>
      <c r="AD212" s="177" t="b">
        <f>IF(ISBLANK(GroupMember[[#This Row],[1. Identifiant interne d’exploitation agricole*]]),"",IF(ISERROR(MATCH(GroupMember[[#This Row],[1. Identifiant interne d’exploitation agricole*]],CertifiedCrop[1. Identifiant interne d’exploitation agricole*],0)),FALSE,TRUE))</f>
        <v>1</v>
      </c>
      <c r="AE212" s="177" t="b">
        <f>IF(ISBLANK(GroupMember[[#This Row],[1. Identifiant interne d’exploitation agricole*]]),"",IF(ISERROR(MATCH(GroupMember[[#This Row],[1. Identifiant interne d’exploitation agricole*]],FarmUnit[1. Identifiant interne d’exploitation agricole*],0)),FALSE,TRUE))</f>
        <v>1</v>
      </c>
      <c r="AF212" s="178" t="str">
        <f t="shared" si="12"/>
        <v>KONAN KOUASSI ANDRIEN</v>
      </c>
      <c r="AG212" s="179" t="str">
        <f t="shared" si="13"/>
        <v>28/7/2021</v>
      </c>
      <c r="AH212" s="180">
        <f t="shared" si="15"/>
        <v>2</v>
      </c>
      <c r="AI212" s="181">
        <f t="shared" si="14"/>
        <v>0.16666666666666666</v>
      </c>
    </row>
    <row r="213" spans="1:35" ht="15">
      <c r="A213" s="170" t="s">
        <v>1483</v>
      </c>
      <c r="B213" s="171" t="s">
        <v>1483</v>
      </c>
      <c r="C213" s="171" t="s">
        <v>1483</v>
      </c>
      <c r="D213" s="171" t="s">
        <v>1251</v>
      </c>
      <c r="E213" s="171" t="s">
        <v>668</v>
      </c>
      <c r="F213" s="171" t="s">
        <v>669</v>
      </c>
      <c r="G213" s="171" t="s">
        <v>670</v>
      </c>
      <c r="H213" s="195">
        <v>1.9292</v>
      </c>
      <c r="I213" s="171" t="s">
        <v>671</v>
      </c>
      <c r="J213" s="57">
        <v>1</v>
      </c>
      <c r="K213" s="172">
        <v>2021</v>
      </c>
      <c r="L213" s="173" t="s">
        <v>1484</v>
      </c>
      <c r="M213" s="173" t="s">
        <v>1485</v>
      </c>
      <c r="N213" s="174" t="s">
        <v>1486</v>
      </c>
      <c r="O213" s="171" t="s">
        <v>1487</v>
      </c>
      <c r="P213" s="171" t="s">
        <v>675</v>
      </c>
      <c r="Q213" s="209">
        <v>1988</v>
      </c>
      <c r="R213" s="171">
        <v>6</v>
      </c>
      <c r="S213" s="171"/>
      <c r="T213" s="173"/>
      <c r="U213" s="171"/>
      <c r="V213" s="171"/>
      <c r="W213" s="171"/>
      <c r="X213" s="57">
        <v>0</v>
      </c>
      <c r="Y213" s="172">
        <v>2</v>
      </c>
      <c r="Z213" s="175" t="s">
        <v>1256</v>
      </c>
      <c r="AA213" s="176">
        <v>2021</v>
      </c>
      <c r="AB213" s="176">
        <v>7</v>
      </c>
      <c r="AC213" s="176">
        <v>7</v>
      </c>
      <c r="AD213" s="177" t="b">
        <f>IF(ISBLANK(GroupMember[[#This Row],[1. Identifiant interne d’exploitation agricole*]]),"",IF(ISERROR(MATCH(GroupMember[[#This Row],[1. Identifiant interne d’exploitation agricole*]],CertifiedCrop[1. Identifiant interne d’exploitation agricole*],0)),FALSE,TRUE))</f>
        <v>1</v>
      </c>
      <c r="AE213" s="177" t="b">
        <f>IF(ISBLANK(GroupMember[[#This Row],[1. Identifiant interne d’exploitation agricole*]]),"",IF(ISERROR(MATCH(GroupMember[[#This Row],[1. Identifiant interne d’exploitation agricole*]],FarmUnit[1. Identifiant interne d’exploitation agricole*],0)),FALSE,TRUE))</f>
        <v>1</v>
      </c>
      <c r="AF213" s="178" t="str">
        <f t="shared" si="12"/>
        <v>KOFFI KOUASSI DOMINIQUE</v>
      </c>
      <c r="AG213" s="179" t="str">
        <f t="shared" si="13"/>
        <v>7/7/2021</v>
      </c>
      <c r="AH213" s="180">
        <f t="shared" si="15"/>
        <v>5</v>
      </c>
      <c r="AI213" s="181">
        <f t="shared" si="14"/>
        <v>0.16666666666666666</v>
      </c>
    </row>
    <row r="214" spans="1:35" ht="15">
      <c r="A214" s="170" t="s">
        <v>1488</v>
      </c>
      <c r="B214" s="171" t="s">
        <v>1488</v>
      </c>
      <c r="C214" s="171" t="s">
        <v>1488</v>
      </c>
      <c r="D214" s="171" t="s">
        <v>1251</v>
      </c>
      <c r="E214" s="171" t="s">
        <v>668</v>
      </c>
      <c r="F214" s="171" t="s">
        <v>669</v>
      </c>
      <c r="G214" s="171" t="s">
        <v>670</v>
      </c>
      <c r="H214" s="195">
        <v>2.6680000000000001</v>
      </c>
      <c r="I214" s="171" t="s">
        <v>671</v>
      </c>
      <c r="J214" s="57">
        <v>1</v>
      </c>
      <c r="K214" s="172">
        <v>2021</v>
      </c>
      <c r="L214" s="173" t="s">
        <v>1489</v>
      </c>
      <c r="M214" s="173" t="s">
        <v>1471</v>
      </c>
      <c r="N214" s="174" t="s">
        <v>1490</v>
      </c>
      <c r="O214" s="171" t="s">
        <v>2546</v>
      </c>
      <c r="P214" s="171" t="s">
        <v>675</v>
      </c>
      <c r="Q214" s="209">
        <v>1993</v>
      </c>
      <c r="R214" s="171">
        <v>5</v>
      </c>
      <c r="S214" s="171"/>
      <c r="T214" s="173"/>
      <c r="U214" s="171"/>
      <c r="V214" s="171"/>
      <c r="W214" s="171"/>
      <c r="X214" s="57">
        <v>0</v>
      </c>
      <c r="Y214" s="172">
        <v>2</v>
      </c>
      <c r="Z214" s="175" t="s">
        <v>1256</v>
      </c>
      <c r="AA214" s="176">
        <v>2021</v>
      </c>
      <c r="AB214" s="176">
        <v>8</v>
      </c>
      <c r="AC214" s="176">
        <v>24</v>
      </c>
      <c r="AD214" s="177" t="b">
        <f>IF(ISBLANK(GroupMember[[#This Row],[1. Identifiant interne d’exploitation agricole*]]),"",IF(ISERROR(MATCH(GroupMember[[#This Row],[1. Identifiant interne d’exploitation agricole*]],CertifiedCrop[1. Identifiant interne d’exploitation agricole*],0)),FALSE,TRUE))</f>
        <v>1</v>
      </c>
      <c r="AE214" s="177" t="b">
        <f>IF(ISBLANK(GroupMember[[#This Row],[1. Identifiant interne d’exploitation agricole*]]),"",IF(ISERROR(MATCH(GroupMember[[#This Row],[1. Identifiant interne d’exploitation agricole*]],FarmUnit[1. Identifiant interne d’exploitation agricole*],0)),FALSE,TRUE))</f>
        <v>1</v>
      </c>
      <c r="AF214" s="178" t="str">
        <f t="shared" si="12"/>
        <v>DAH SANI EDOUARD</v>
      </c>
      <c r="AG214" s="179" t="str">
        <f t="shared" si="13"/>
        <v>24/8/2021</v>
      </c>
      <c r="AH214" s="180">
        <f t="shared" si="15"/>
        <v>6</v>
      </c>
      <c r="AI214" s="181">
        <f t="shared" si="14"/>
        <v>0.16666666666666666</v>
      </c>
    </row>
    <row r="215" spans="1:35" ht="15">
      <c r="A215" s="170" t="s">
        <v>1491</v>
      </c>
      <c r="B215" s="171" t="s">
        <v>1491</v>
      </c>
      <c r="C215" s="171" t="s">
        <v>1491</v>
      </c>
      <c r="D215" s="171" t="s">
        <v>1251</v>
      </c>
      <c r="E215" s="171" t="s">
        <v>668</v>
      </c>
      <c r="F215" s="171" t="s">
        <v>669</v>
      </c>
      <c r="G215" s="171" t="s">
        <v>670</v>
      </c>
      <c r="H215" s="195">
        <v>1.9275</v>
      </c>
      <c r="I215" s="171" t="s">
        <v>671</v>
      </c>
      <c r="J215" s="57">
        <v>1</v>
      </c>
      <c r="K215" s="172">
        <v>2021</v>
      </c>
      <c r="L215" s="173" t="s">
        <v>1492</v>
      </c>
      <c r="M215" s="173" t="s">
        <v>1493</v>
      </c>
      <c r="N215" s="174" t="s">
        <v>1494</v>
      </c>
      <c r="O215" s="171" t="s">
        <v>2547</v>
      </c>
      <c r="P215" s="171" t="s">
        <v>675</v>
      </c>
      <c r="Q215" s="209">
        <v>1972</v>
      </c>
      <c r="R215" s="171">
        <v>7</v>
      </c>
      <c r="S215" s="171"/>
      <c r="T215" s="173"/>
      <c r="U215" s="171"/>
      <c r="V215" s="171"/>
      <c r="W215" s="171"/>
      <c r="X215" s="57">
        <v>0</v>
      </c>
      <c r="Y215" s="172">
        <v>2</v>
      </c>
      <c r="Z215" s="175" t="s">
        <v>1256</v>
      </c>
      <c r="AA215" s="176">
        <v>2021</v>
      </c>
      <c r="AB215" s="176">
        <v>8</v>
      </c>
      <c r="AC215" s="176">
        <v>16</v>
      </c>
      <c r="AD215" s="177" t="b">
        <f>IF(ISBLANK(GroupMember[[#This Row],[1. Identifiant interne d’exploitation agricole*]]),"",IF(ISERROR(MATCH(GroupMember[[#This Row],[1. Identifiant interne d’exploitation agricole*]],CertifiedCrop[1. Identifiant interne d’exploitation agricole*],0)),FALSE,TRUE))</f>
        <v>1</v>
      </c>
      <c r="AE215" s="177" t="b">
        <f>IF(ISBLANK(GroupMember[[#This Row],[1. Identifiant interne d’exploitation agricole*]]),"",IF(ISERROR(MATCH(GroupMember[[#This Row],[1. Identifiant interne d’exploitation agricole*]],FarmUnit[1. Identifiant interne d’exploitation agricole*],0)),FALSE,TRUE))</f>
        <v>1</v>
      </c>
      <c r="AF215" s="178" t="str">
        <f t="shared" si="12"/>
        <v>KPAN  HONORE</v>
      </c>
      <c r="AG215" s="179" t="str">
        <f t="shared" si="13"/>
        <v>16/8/2021</v>
      </c>
      <c r="AH215" s="180">
        <f t="shared" si="15"/>
        <v>5</v>
      </c>
      <c r="AI215" s="181">
        <f t="shared" si="14"/>
        <v>0.16666666666666666</v>
      </c>
    </row>
    <row r="216" spans="1:35" ht="15">
      <c r="A216" s="170" t="s">
        <v>1495</v>
      </c>
      <c r="B216" s="171" t="s">
        <v>1495</v>
      </c>
      <c r="C216" s="171" t="s">
        <v>1495</v>
      </c>
      <c r="D216" s="171" t="s">
        <v>1251</v>
      </c>
      <c r="E216" s="171" t="s">
        <v>668</v>
      </c>
      <c r="F216" s="171" t="s">
        <v>669</v>
      </c>
      <c r="G216" s="171" t="s">
        <v>670</v>
      </c>
      <c r="H216" s="195">
        <v>2.3083</v>
      </c>
      <c r="I216" s="171" t="s">
        <v>671</v>
      </c>
      <c r="J216" s="57">
        <v>1</v>
      </c>
      <c r="K216" s="172">
        <v>2021</v>
      </c>
      <c r="L216" s="173" t="s">
        <v>1492</v>
      </c>
      <c r="M216" s="173" t="s">
        <v>1496</v>
      </c>
      <c r="N216" s="174" t="s">
        <v>1497</v>
      </c>
      <c r="O216" s="171" t="s">
        <v>1498</v>
      </c>
      <c r="P216" s="171" t="s">
        <v>720</v>
      </c>
      <c r="Q216" s="209">
        <v>1964</v>
      </c>
      <c r="R216" s="171">
        <v>5</v>
      </c>
      <c r="S216" s="171"/>
      <c r="T216" s="173"/>
      <c r="U216" s="171"/>
      <c r="V216" s="171"/>
      <c r="W216" s="171"/>
      <c r="X216" s="57">
        <v>0</v>
      </c>
      <c r="Y216" s="172">
        <v>2</v>
      </c>
      <c r="Z216" s="175" t="s">
        <v>1256</v>
      </c>
      <c r="AA216" s="176">
        <v>2021</v>
      </c>
      <c r="AB216" s="176">
        <v>7</v>
      </c>
      <c r="AC216" s="176">
        <v>20</v>
      </c>
      <c r="AD216" s="177" t="b">
        <f>IF(ISBLANK(GroupMember[[#This Row],[1. Identifiant interne d’exploitation agricole*]]),"",IF(ISERROR(MATCH(GroupMember[[#This Row],[1. Identifiant interne d’exploitation agricole*]],CertifiedCrop[1. Identifiant interne d’exploitation agricole*],0)),FALSE,TRUE))</f>
        <v>1</v>
      </c>
      <c r="AE216" s="177" t="b">
        <f>IF(ISBLANK(GroupMember[[#This Row],[1. Identifiant interne d’exploitation agricole*]]),"",IF(ISERROR(MATCH(GroupMember[[#This Row],[1. Identifiant interne d’exploitation agricole*]],FarmUnit[1. Identifiant interne d’exploitation agricole*],0)),FALSE,TRUE))</f>
        <v>1</v>
      </c>
      <c r="AF216" s="178" t="str">
        <f t="shared" si="12"/>
        <v>KPAN  ENGELINE</v>
      </c>
      <c r="AG216" s="179" t="str">
        <f t="shared" si="13"/>
        <v>20/7/2021</v>
      </c>
      <c r="AH216" s="180">
        <f t="shared" si="15"/>
        <v>5</v>
      </c>
      <c r="AI216" s="181">
        <f t="shared" si="14"/>
        <v>0.16666666666666666</v>
      </c>
    </row>
    <row r="217" spans="1:35" ht="15">
      <c r="A217" s="170" t="s">
        <v>1499</v>
      </c>
      <c r="B217" s="171" t="s">
        <v>1499</v>
      </c>
      <c r="C217" s="171" t="s">
        <v>1499</v>
      </c>
      <c r="D217" s="171" t="s">
        <v>1251</v>
      </c>
      <c r="E217" s="171" t="s">
        <v>668</v>
      </c>
      <c r="F217" s="171" t="s">
        <v>669</v>
      </c>
      <c r="G217" s="171" t="s">
        <v>670</v>
      </c>
      <c r="H217" s="195">
        <v>2.3138999999999998</v>
      </c>
      <c r="I217" s="171" t="s">
        <v>671</v>
      </c>
      <c r="J217" s="57">
        <v>1</v>
      </c>
      <c r="K217" s="172">
        <v>2021</v>
      </c>
      <c r="L217" s="173" t="s">
        <v>1500</v>
      </c>
      <c r="M217" s="173" t="s">
        <v>679</v>
      </c>
      <c r="N217" s="174" t="s">
        <v>1501</v>
      </c>
      <c r="O217" s="171" t="s">
        <v>2548</v>
      </c>
      <c r="P217" s="171" t="s">
        <v>675</v>
      </c>
      <c r="Q217" s="209">
        <v>1982</v>
      </c>
      <c r="R217" s="171">
        <v>3</v>
      </c>
      <c r="S217" s="171"/>
      <c r="T217" s="173"/>
      <c r="U217" s="171"/>
      <c r="V217" s="171"/>
      <c r="W217" s="171"/>
      <c r="X217" s="57">
        <v>0</v>
      </c>
      <c r="Y217" s="172">
        <v>2</v>
      </c>
      <c r="Z217" s="175" t="s">
        <v>1256</v>
      </c>
      <c r="AA217" s="176">
        <v>2021</v>
      </c>
      <c r="AB217" s="176">
        <v>8</v>
      </c>
      <c r="AC217" s="176">
        <v>13</v>
      </c>
      <c r="AD217" s="177" t="b">
        <f>IF(ISBLANK(GroupMember[[#This Row],[1. Identifiant interne d’exploitation agricole*]]),"",IF(ISERROR(MATCH(GroupMember[[#This Row],[1. Identifiant interne d’exploitation agricole*]],CertifiedCrop[1. Identifiant interne d’exploitation agricole*],0)),FALSE,TRUE))</f>
        <v>1</v>
      </c>
      <c r="AE217" s="177" t="b">
        <f>IF(ISBLANK(GroupMember[[#This Row],[1. Identifiant interne d’exploitation agricole*]]),"",IF(ISERROR(MATCH(GroupMember[[#This Row],[1. Identifiant interne d’exploitation agricole*]],FarmUnit[1. Identifiant interne d’exploitation agricole*],0)),FALSE,TRUE))</f>
        <v>1</v>
      </c>
      <c r="AF217" s="178" t="str">
        <f t="shared" si="12"/>
        <v>TOTO ARSENE</v>
      </c>
      <c r="AG217" s="179" t="str">
        <f t="shared" si="13"/>
        <v>13/8/2021</v>
      </c>
      <c r="AH217" s="180">
        <f t="shared" si="15"/>
        <v>3</v>
      </c>
      <c r="AI217" s="181">
        <f t="shared" si="14"/>
        <v>0.16666666666666666</v>
      </c>
    </row>
    <row r="218" spans="1:35" ht="15">
      <c r="A218" s="170" t="s">
        <v>1502</v>
      </c>
      <c r="B218" s="171" t="s">
        <v>1502</v>
      </c>
      <c r="C218" s="171" t="s">
        <v>1502</v>
      </c>
      <c r="D218" s="171" t="s">
        <v>1251</v>
      </c>
      <c r="E218" s="171" t="s">
        <v>668</v>
      </c>
      <c r="F218" s="171" t="s">
        <v>669</v>
      </c>
      <c r="G218" s="171" t="s">
        <v>670</v>
      </c>
      <c r="H218" s="195">
        <v>2.6335999999999999</v>
      </c>
      <c r="I218" s="171" t="s">
        <v>671</v>
      </c>
      <c r="J218" s="57">
        <v>1</v>
      </c>
      <c r="K218" s="172">
        <v>2021</v>
      </c>
      <c r="L218" s="173" t="s">
        <v>1356</v>
      </c>
      <c r="M218" s="173" t="s">
        <v>732</v>
      </c>
      <c r="N218" s="174" t="s">
        <v>1503</v>
      </c>
      <c r="O218" s="171" t="s">
        <v>2549</v>
      </c>
      <c r="P218" s="171" t="s">
        <v>675</v>
      </c>
      <c r="Q218" s="209">
        <v>1991</v>
      </c>
      <c r="R218" s="171">
        <v>5</v>
      </c>
      <c r="S218" s="171"/>
      <c r="T218" s="173"/>
      <c r="U218" s="171"/>
      <c r="V218" s="171"/>
      <c r="W218" s="171"/>
      <c r="X218" s="57">
        <v>0</v>
      </c>
      <c r="Y218" s="172">
        <v>2</v>
      </c>
      <c r="Z218" s="175" t="s">
        <v>1256</v>
      </c>
      <c r="AA218" s="176">
        <v>2021</v>
      </c>
      <c r="AB218" s="176">
        <v>7</v>
      </c>
      <c r="AC218" s="176">
        <v>29</v>
      </c>
      <c r="AD218" s="177" t="b">
        <f>IF(ISBLANK(GroupMember[[#This Row],[1. Identifiant interne d’exploitation agricole*]]),"",IF(ISERROR(MATCH(GroupMember[[#This Row],[1. Identifiant interne d’exploitation agricole*]],CertifiedCrop[1. Identifiant interne d’exploitation agricole*],0)),FALSE,TRUE))</f>
        <v>1</v>
      </c>
      <c r="AE218" s="177" t="b">
        <f>IF(ISBLANK(GroupMember[[#This Row],[1. Identifiant interne d’exploitation agricole*]]),"",IF(ISERROR(MATCH(GroupMember[[#This Row],[1. Identifiant interne d’exploitation agricole*]],FarmUnit[1. Identifiant interne d’exploitation agricole*],0)),FALSE,TRUE))</f>
        <v>1</v>
      </c>
      <c r="AF218" s="178" t="str">
        <f t="shared" si="12"/>
        <v>KPAN MICHEL</v>
      </c>
      <c r="AG218" s="179" t="str">
        <f t="shared" si="13"/>
        <v>29/7/2021</v>
      </c>
      <c r="AH218" s="180">
        <f t="shared" si="15"/>
        <v>5</v>
      </c>
      <c r="AI218" s="181">
        <f t="shared" si="14"/>
        <v>0.16666666666666666</v>
      </c>
    </row>
    <row r="219" spans="1:35" ht="15">
      <c r="A219" s="170" t="s">
        <v>1504</v>
      </c>
      <c r="B219" s="171" t="s">
        <v>1504</v>
      </c>
      <c r="C219" s="171" t="s">
        <v>1504</v>
      </c>
      <c r="D219" s="171" t="s">
        <v>1251</v>
      </c>
      <c r="E219" s="171" t="s">
        <v>668</v>
      </c>
      <c r="F219" s="171" t="s">
        <v>669</v>
      </c>
      <c r="G219" s="171" t="s">
        <v>670</v>
      </c>
      <c r="H219" s="195">
        <v>3.3929</v>
      </c>
      <c r="I219" s="171" t="s">
        <v>671</v>
      </c>
      <c r="J219" s="57">
        <v>1</v>
      </c>
      <c r="K219" s="172">
        <v>2021</v>
      </c>
      <c r="L219" s="173" t="s">
        <v>1505</v>
      </c>
      <c r="M219" s="173" t="s">
        <v>1506</v>
      </c>
      <c r="N219" s="174" t="s">
        <v>1507</v>
      </c>
      <c r="O219" s="171" t="s">
        <v>2550</v>
      </c>
      <c r="P219" s="171" t="s">
        <v>675</v>
      </c>
      <c r="Q219" s="209">
        <v>2000</v>
      </c>
      <c r="R219" s="171">
        <v>3</v>
      </c>
      <c r="S219" s="171"/>
      <c r="T219" s="173"/>
      <c r="U219" s="171"/>
      <c r="V219" s="171"/>
      <c r="W219" s="171"/>
      <c r="X219" s="57">
        <v>0</v>
      </c>
      <c r="Y219" s="172">
        <v>2</v>
      </c>
      <c r="Z219" s="175" t="s">
        <v>1256</v>
      </c>
      <c r="AA219" s="176">
        <v>2021</v>
      </c>
      <c r="AB219" s="176">
        <v>7</v>
      </c>
      <c r="AC219" s="176">
        <v>15</v>
      </c>
      <c r="AD219" s="177" t="b">
        <f>IF(ISBLANK(GroupMember[[#This Row],[1. Identifiant interne d’exploitation agricole*]]),"",IF(ISERROR(MATCH(GroupMember[[#This Row],[1. Identifiant interne d’exploitation agricole*]],CertifiedCrop[1. Identifiant interne d’exploitation agricole*],0)),FALSE,TRUE))</f>
        <v>1</v>
      </c>
      <c r="AE219" s="177" t="b">
        <f>IF(ISBLANK(GroupMember[[#This Row],[1. Identifiant interne d’exploitation agricole*]]),"",IF(ISERROR(MATCH(GroupMember[[#This Row],[1. Identifiant interne d’exploitation agricole*]],FarmUnit[1. Identifiant interne d’exploitation agricole*],0)),FALSE,TRUE))</f>
        <v>1</v>
      </c>
      <c r="AF219" s="178" t="str">
        <f t="shared" si="12"/>
        <v>FEH JEAN NOEL</v>
      </c>
      <c r="AG219" s="179" t="str">
        <f t="shared" si="13"/>
        <v>15/7/2021</v>
      </c>
      <c r="AH219" s="180">
        <f t="shared" si="15"/>
        <v>4</v>
      </c>
      <c r="AI219" s="181">
        <f t="shared" si="14"/>
        <v>0.16666666666666666</v>
      </c>
    </row>
    <row r="220" spans="1:35" ht="15">
      <c r="A220" s="170" t="s">
        <v>1508</v>
      </c>
      <c r="B220" s="171" t="s">
        <v>1508</v>
      </c>
      <c r="C220" s="171" t="s">
        <v>1508</v>
      </c>
      <c r="D220" s="171" t="s">
        <v>1251</v>
      </c>
      <c r="E220" s="171" t="s">
        <v>668</v>
      </c>
      <c r="F220" s="171" t="s">
        <v>669</v>
      </c>
      <c r="G220" s="171" t="s">
        <v>670</v>
      </c>
      <c r="H220" s="195">
        <v>1.8843000000000001</v>
      </c>
      <c r="I220" s="171" t="s">
        <v>671</v>
      </c>
      <c r="J220" s="57">
        <v>1</v>
      </c>
      <c r="K220" s="172">
        <v>2021</v>
      </c>
      <c r="L220" s="173" t="s">
        <v>1509</v>
      </c>
      <c r="M220" s="173" t="s">
        <v>1510</v>
      </c>
      <c r="N220" s="174" t="s">
        <v>1511</v>
      </c>
      <c r="O220" s="171" t="s">
        <v>1512</v>
      </c>
      <c r="P220" s="171" t="s">
        <v>675</v>
      </c>
      <c r="Q220" s="209">
        <v>1984</v>
      </c>
      <c r="R220" s="171">
        <v>4</v>
      </c>
      <c r="S220" s="171"/>
      <c r="T220" s="173"/>
      <c r="U220" s="171"/>
      <c r="V220" s="171"/>
      <c r="W220" s="171"/>
      <c r="X220" s="57">
        <v>0</v>
      </c>
      <c r="Y220" s="172">
        <v>2</v>
      </c>
      <c r="Z220" s="175" t="s">
        <v>1256</v>
      </c>
      <c r="AA220" s="176">
        <v>2021</v>
      </c>
      <c r="AB220" s="176">
        <v>7</v>
      </c>
      <c r="AC220" s="176">
        <v>14</v>
      </c>
      <c r="AD220" s="177" t="b">
        <f>IF(ISBLANK(GroupMember[[#This Row],[1. Identifiant interne d’exploitation agricole*]]),"",IF(ISERROR(MATCH(GroupMember[[#This Row],[1. Identifiant interne d’exploitation agricole*]],CertifiedCrop[1. Identifiant interne d’exploitation agricole*],0)),FALSE,TRUE))</f>
        <v>1</v>
      </c>
      <c r="AE220" s="177" t="b">
        <f>IF(ISBLANK(GroupMember[[#This Row],[1. Identifiant interne d’exploitation agricole*]]),"",IF(ISERROR(MATCH(GroupMember[[#This Row],[1. Identifiant interne d’exploitation agricole*]],FarmUnit[1. Identifiant interne d’exploitation agricole*],0)),FALSE,TRUE))</f>
        <v>1</v>
      </c>
      <c r="AF220" s="178" t="str">
        <f t="shared" si="12"/>
        <v>SIDIKI GUEU EDMOND</v>
      </c>
      <c r="AG220" s="179" t="str">
        <f t="shared" si="13"/>
        <v>14/7/2021</v>
      </c>
      <c r="AH220" s="180">
        <f t="shared" si="15"/>
        <v>2</v>
      </c>
      <c r="AI220" s="181">
        <f t="shared" si="14"/>
        <v>0.16666666666666666</v>
      </c>
    </row>
    <row r="221" spans="1:35" ht="15">
      <c r="A221" s="170" t="s">
        <v>1513</v>
      </c>
      <c r="B221" s="171" t="s">
        <v>1513</v>
      </c>
      <c r="C221" s="171" t="s">
        <v>1513</v>
      </c>
      <c r="D221" s="171" t="s">
        <v>1251</v>
      </c>
      <c r="E221" s="171" t="s">
        <v>668</v>
      </c>
      <c r="F221" s="171" t="s">
        <v>669</v>
      </c>
      <c r="G221" s="171" t="s">
        <v>670</v>
      </c>
      <c r="H221" s="195">
        <v>3.2879999999999998</v>
      </c>
      <c r="I221" s="171" t="s">
        <v>671</v>
      </c>
      <c r="J221" s="57">
        <v>1</v>
      </c>
      <c r="K221" s="172">
        <v>2021</v>
      </c>
      <c r="L221" s="173" t="s">
        <v>1514</v>
      </c>
      <c r="M221" s="173" t="s">
        <v>1515</v>
      </c>
      <c r="N221" s="174" t="s">
        <v>1516</v>
      </c>
      <c r="O221" s="171" t="s">
        <v>2551</v>
      </c>
      <c r="P221" s="171" t="s">
        <v>675</v>
      </c>
      <c r="Q221" s="209">
        <v>1995</v>
      </c>
      <c r="R221" s="171">
        <v>2</v>
      </c>
      <c r="S221" s="171"/>
      <c r="T221" s="173"/>
      <c r="U221" s="171"/>
      <c r="V221" s="171"/>
      <c r="W221" s="171"/>
      <c r="X221" s="57">
        <v>0</v>
      </c>
      <c r="Y221" s="172">
        <v>2</v>
      </c>
      <c r="Z221" s="175" t="s">
        <v>1256</v>
      </c>
      <c r="AA221" s="176">
        <v>2021</v>
      </c>
      <c r="AB221" s="176">
        <v>8</v>
      </c>
      <c r="AC221" s="176">
        <v>3</v>
      </c>
      <c r="AD221" s="177" t="b">
        <f>IF(ISBLANK(GroupMember[[#This Row],[1. Identifiant interne d’exploitation agricole*]]),"",IF(ISERROR(MATCH(GroupMember[[#This Row],[1. Identifiant interne d’exploitation agricole*]],CertifiedCrop[1. Identifiant interne d’exploitation agricole*],0)),FALSE,TRUE))</f>
        <v>1</v>
      </c>
      <c r="AE221" s="177" t="b">
        <f>IF(ISBLANK(GroupMember[[#This Row],[1. Identifiant interne d’exploitation agricole*]]),"",IF(ISERROR(MATCH(GroupMember[[#This Row],[1. Identifiant interne d’exploitation agricole*]],FarmUnit[1. Identifiant interne d’exploitation agricole*],0)),FALSE,TRUE))</f>
        <v>1</v>
      </c>
      <c r="AF221" s="178" t="str">
        <f t="shared" si="12"/>
        <v>SIDIKI ISSAC</v>
      </c>
      <c r="AG221" s="179" t="str">
        <f t="shared" si="13"/>
        <v>3/8/2021</v>
      </c>
      <c r="AH221" s="180">
        <f t="shared" si="15"/>
        <v>5</v>
      </c>
      <c r="AI221" s="181">
        <f t="shared" si="14"/>
        <v>0.16666666666666666</v>
      </c>
    </row>
    <row r="222" spans="1:35" ht="15">
      <c r="A222" s="170" t="s">
        <v>1517</v>
      </c>
      <c r="B222" s="171" t="s">
        <v>1517</v>
      </c>
      <c r="C222" s="171" t="s">
        <v>1517</v>
      </c>
      <c r="D222" s="171" t="s">
        <v>1251</v>
      </c>
      <c r="E222" s="171" t="s">
        <v>668</v>
      </c>
      <c r="F222" s="171" t="s">
        <v>669</v>
      </c>
      <c r="G222" s="171" t="s">
        <v>670</v>
      </c>
      <c r="H222" s="195">
        <v>1.7115</v>
      </c>
      <c r="I222" s="171" t="s">
        <v>671</v>
      </c>
      <c r="J222" s="57">
        <v>1</v>
      </c>
      <c r="K222" s="172">
        <v>2021</v>
      </c>
      <c r="L222" s="173" t="s">
        <v>1288</v>
      </c>
      <c r="M222" s="173" t="s">
        <v>891</v>
      </c>
      <c r="N222" s="174" t="s">
        <v>1518</v>
      </c>
      <c r="O222" s="171" t="s">
        <v>2552</v>
      </c>
      <c r="P222" s="171" t="s">
        <v>675</v>
      </c>
      <c r="Q222" s="209">
        <v>1990</v>
      </c>
      <c r="R222" s="171">
        <v>5</v>
      </c>
      <c r="S222" s="171"/>
      <c r="T222" s="173"/>
      <c r="U222" s="171"/>
      <c r="V222" s="171"/>
      <c r="W222" s="171"/>
      <c r="X222" s="57">
        <v>0</v>
      </c>
      <c r="Y222" s="172">
        <v>2</v>
      </c>
      <c r="Z222" s="175" t="s">
        <v>1256</v>
      </c>
      <c r="AA222" s="176">
        <v>2021</v>
      </c>
      <c r="AB222" s="176">
        <v>7</v>
      </c>
      <c r="AC222" s="176">
        <v>22</v>
      </c>
      <c r="AD222" s="177" t="b">
        <f>IF(ISBLANK(GroupMember[[#This Row],[1. Identifiant interne d’exploitation agricole*]]),"",IF(ISERROR(MATCH(GroupMember[[#This Row],[1. Identifiant interne d’exploitation agricole*]],CertifiedCrop[1. Identifiant interne d’exploitation agricole*],0)),FALSE,TRUE))</f>
        <v>1</v>
      </c>
      <c r="AE222" s="177" t="b">
        <f>IF(ISBLANK(GroupMember[[#This Row],[1. Identifiant interne d’exploitation agricole*]]),"",IF(ISERROR(MATCH(GroupMember[[#This Row],[1. Identifiant interne d’exploitation agricole*]],FarmUnit[1. Identifiant interne d’exploitation agricole*],0)),FALSE,TRUE))</f>
        <v>1</v>
      </c>
      <c r="AF222" s="178" t="str">
        <f t="shared" si="12"/>
        <v>GUEU JOEL</v>
      </c>
      <c r="AG222" s="179" t="str">
        <f t="shared" si="13"/>
        <v>22/7/2021</v>
      </c>
      <c r="AH222" s="180">
        <f t="shared" si="15"/>
        <v>5</v>
      </c>
      <c r="AI222" s="181">
        <f t="shared" si="14"/>
        <v>0.16666666666666666</v>
      </c>
    </row>
    <row r="223" spans="1:35" ht="15">
      <c r="A223" s="170" t="s">
        <v>1519</v>
      </c>
      <c r="B223" s="171" t="s">
        <v>1519</v>
      </c>
      <c r="C223" s="171" t="s">
        <v>1519</v>
      </c>
      <c r="D223" s="171" t="s">
        <v>1251</v>
      </c>
      <c r="E223" s="171" t="s">
        <v>668</v>
      </c>
      <c r="F223" s="171" t="s">
        <v>669</v>
      </c>
      <c r="G223" s="171" t="s">
        <v>670</v>
      </c>
      <c r="H223" s="195">
        <v>1.6259999999999999</v>
      </c>
      <c r="I223" s="171" t="s">
        <v>671</v>
      </c>
      <c r="J223" s="57">
        <v>1</v>
      </c>
      <c r="K223" s="172">
        <v>2021</v>
      </c>
      <c r="L223" s="173" t="s">
        <v>1368</v>
      </c>
      <c r="M223" s="173" t="s">
        <v>1454</v>
      </c>
      <c r="N223" s="174" t="s">
        <v>1520</v>
      </c>
      <c r="O223" s="171" t="s">
        <v>1521</v>
      </c>
      <c r="P223" s="171" t="s">
        <v>675</v>
      </c>
      <c r="Q223" s="209">
        <v>1981</v>
      </c>
      <c r="R223" s="171">
        <v>4</v>
      </c>
      <c r="S223" s="171"/>
      <c r="T223" s="173"/>
      <c r="U223" s="171"/>
      <c r="V223" s="171"/>
      <c r="W223" s="171"/>
      <c r="X223" s="57">
        <v>0</v>
      </c>
      <c r="Y223" s="172">
        <v>2</v>
      </c>
      <c r="Z223" s="175" t="s">
        <v>1256</v>
      </c>
      <c r="AA223" s="176">
        <v>2021</v>
      </c>
      <c r="AB223" s="176">
        <v>8</v>
      </c>
      <c r="AC223" s="176">
        <v>12</v>
      </c>
      <c r="AD223" s="177" t="b">
        <f>IF(ISBLANK(GroupMember[[#This Row],[1. Identifiant interne d’exploitation agricole*]]),"",IF(ISERROR(MATCH(GroupMember[[#This Row],[1. Identifiant interne d’exploitation agricole*]],CertifiedCrop[1. Identifiant interne d’exploitation agricole*],0)),FALSE,TRUE))</f>
        <v>1</v>
      </c>
      <c r="AE223" s="177" t="b">
        <f>IF(ISBLANK(GroupMember[[#This Row],[1. Identifiant interne d’exploitation agricole*]]),"",IF(ISERROR(MATCH(GroupMember[[#This Row],[1. Identifiant interne d’exploitation agricole*]],FarmUnit[1. Identifiant interne d’exploitation agricole*],0)),FALSE,TRUE))</f>
        <v>1</v>
      </c>
      <c r="AF223" s="178" t="str">
        <f t="shared" si="12"/>
        <v>ZIAN YVES</v>
      </c>
      <c r="AG223" s="179" t="str">
        <f t="shared" si="13"/>
        <v>12/8/2021</v>
      </c>
      <c r="AH223" s="180">
        <f t="shared" si="15"/>
        <v>5</v>
      </c>
      <c r="AI223" s="181">
        <f t="shared" si="14"/>
        <v>0.16666666666666666</v>
      </c>
    </row>
    <row r="224" spans="1:35" ht="15">
      <c r="A224" s="170" t="s">
        <v>1522</v>
      </c>
      <c r="B224" s="171" t="s">
        <v>1522</v>
      </c>
      <c r="C224" s="171" t="s">
        <v>1522</v>
      </c>
      <c r="D224" s="171" t="s">
        <v>1251</v>
      </c>
      <c r="E224" s="171" t="s">
        <v>668</v>
      </c>
      <c r="F224" s="171" t="s">
        <v>669</v>
      </c>
      <c r="G224" s="171" t="s">
        <v>670</v>
      </c>
      <c r="H224" s="195">
        <v>2.2568000000000001</v>
      </c>
      <c r="I224" s="171" t="s">
        <v>671</v>
      </c>
      <c r="J224" s="57">
        <v>1</v>
      </c>
      <c r="K224" s="172">
        <v>2021</v>
      </c>
      <c r="L224" s="173" t="s">
        <v>1523</v>
      </c>
      <c r="M224" s="173" t="s">
        <v>1524</v>
      </c>
      <c r="N224" s="174" t="s">
        <v>1525</v>
      </c>
      <c r="O224" s="171" t="s">
        <v>1526</v>
      </c>
      <c r="P224" s="171" t="s">
        <v>675</v>
      </c>
      <c r="Q224" s="209">
        <v>1978</v>
      </c>
      <c r="R224" s="171">
        <v>5</v>
      </c>
      <c r="S224" s="171"/>
      <c r="T224" s="173"/>
      <c r="U224" s="171"/>
      <c r="V224" s="171"/>
      <c r="W224" s="171"/>
      <c r="X224" s="57">
        <v>0</v>
      </c>
      <c r="Y224" s="172">
        <v>2</v>
      </c>
      <c r="Z224" s="175" t="s">
        <v>1256</v>
      </c>
      <c r="AA224" s="176">
        <v>2021</v>
      </c>
      <c r="AB224" s="176">
        <v>7</v>
      </c>
      <c r="AC224" s="176">
        <v>8</v>
      </c>
      <c r="AD224" s="177" t="b">
        <f>IF(ISBLANK(GroupMember[[#This Row],[1. Identifiant interne d’exploitation agricole*]]),"",IF(ISERROR(MATCH(GroupMember[[#This Row],[1. Identifiant interne d’exploitation agricole*]],CertifiedCrop[1. Identifiant interne d’exploitation agricole*],0)),FALSE,TRUE))</f>
        <v>1</v>
      </c>
      <c r="AE224" s="177" t="b">
        <f>IF(ISBLANK(GroupMember[[#This Row],[1. Identifiant interne d’exploitation agricole*]]),"",IF(ISERROR(MATCH(GroupMember[[#This Row],[1. Identifiant interne d’exploitation agricole*]],FarmUnit[1. Identifiant interne d’exploitation agricole*],0)),FALSE,TRUE))</f>
        <v>1</v>
      </c>
      <c r="AF224" s="178" t="str">
        <f t="shared" si="12"/>
        <v>KONE  MAMADI</v>
      </c>
      <c r="AG224" s="179" t="str">
        <f t="shared" si="13"/>
        <v>8/7/2021</v>
      </c>
      <c r="AH224" s="180">
        <f t="shared" si="15"/>
        <v>6</v>
      </c>
      <c r="AI224" s="181">
        <f t="shared" si="14"/>
        <v>0.16666666666666666</v>
      </c>
    </row>
    <row r="225" spans="1:35" ht="15">
      <c r="A225" s="170" t="s">
        <v>1527</v>
      </c>
      <c r="B225" s="171" t="s">
        <v>1527</v>
      </c>
      <c r="C225" s="171" t="s">
        <v>1527</v>
      </c>
      <c r="D225" s="171" t="s">
        <v>1251</v>
      </c>
      <c r="E225" s="171" t="s">
        <v>668</v>
      </c>
      <c r="F225" s="171" t="s">
        <v>669</v>
      </c>
      <c r="G225" s="171" t="s">
        <v>670</v>
      </c>
      <c r="H225" s="195">
        <v>2.3066</v>
      </c>
      <c r="I225" s="171" t="s">
        <v>671</v>
      </c>
      <c r="J225" s="57">
        <v>1</v>
      </c>
      <c r="K225" s="172">
        <v>2021</v>
      </c>
      <c r="L225" s="173" t="s">
        <v>1252</v>
      </c>
      <c r="M225" s="173" t="s">
        <v>1111</v>
      </c>
      <c r="N225" s="174" t="s">
        <v>1528</v>
      </c>
      <c r="O225" s="171" t="s">
        <v>1529</v>
      </c>
      <c r="P225" s="171" t="s">
        <v>675</v>
      </c>
      <c r="Q225" s="209">
        <v>1945</v>
      </c>
      <c r="R225" s="171">
        <v>6</v>
      </c>
      <c r="S225" s="171"/>
      <c r="T225" s="173"/>
      <c r="U225" s="171"/>
      <c r="V225" s="171"/>
      <c r="W225" s="171"/>
      <c r="X225" s="57">
        <v>0</v>
      </c>
      <c r="Y225" s="172">
        <v>2</v>
      </c>
      <c r="Z225" s="175" t="s">
        <v>1256</v>
      </c>
      <c r="AA225" s="176">
        <v>2021</v>
      </c>
      <c r="AB225" s="176">
        <v>8</v>
      </c>
      <c r="AC225" s="176">
        <v>20</v>
      </c>
      <c r="AD225" s="177" t="b">
        <f>IF(ISBLANK(GroupMember[[#This Row],[1. Identifiant interne d’exploitation agricole*]]),"",IF(ISERROR(MATCH(GroupMember[[#This Row],[1. Identifiant interne d’exploitation agricole*]],CertifiedCrop[1. Identifiant interne d’exploitation agricole*],0)),FALSE,TRUE))</f>
        <v>1</v>
      </c>
      <c r="AE225" s="177" t="b">
        <f>IF(ISBLANK(GroupMember[[#This Row],[1. Identifiant interne d’exploitation agricole*]]),"",IF(ISERROR(MATCH(GroupMember[[#This Row],[1. Identifiant interne d’exploitation agricole*]],FarmUnit[1. Identifiant interne d’exploitation agricole*],0)),FALSE,TRUE))</f>
        <v>1</v>
      </c>
      <c r="AF225" s="178" t="str">
        <f t="shared" si="12"/>
        <v>OULAI ANTOINE</v>
      </c>
      <c r="AG225" s="179" t="str">
        <f t="shared" si="13"/>
        <v>20/8/2021</v>
      </c>
      <c r="AH225" s="180">
        <f t="shared" si="15"/>
        <v>4</v>
      </c>
      <c r="AI225" s="181">
        <f t="shared" si="14"/>
        <v>0.16666666666666666</v>
      </c>
    </row>
    <row r="226" spans="1:35" ht="15">
      <c r="A226" s="170" t="s">
        <v>1530</v>
      </c>
      <c r="B226" s="171" t="s">
        <v>1530</v>
      </c>
      <c r="C226" s="171" t="s">
        <v>1530</v>
      </c>
      <c r="D226" s="171" t="s">
        <v>1251</v>
      </c>
      <c r="E226" s="171" t="s">
        <v>668</v>
      </c>
      <c r="F226" s="171" t="s">
        <v>669</v>
      </c>
      <c r="G226" s="171" t="s">
        <v>670</v>
      </c>
      <c r="H226" s="195">
        <v>1.8411999999999999</v>
      </c>
      <c r="I226" s="171" t="s">
        <v>671</v>
      </c>
      <c r="J226" s="57">
        <v>1</v>
      </c>
      <c r="K226" s="172">
        <v>2021</v>
      </c>
      <c r="L226" s="173" t="s">
        <v>1531</v>
      </c>
      <c r="M226" s="173" t="s">
        <v>1532</v>
      </c>
      <c r="N226" s="174" t="s">
        <v>1533</v>
      </c>
      <c r="O226" s="171" t="s">
        <v>1534</v>
      </c>
      <c r="P226" s="171" t="s">
        <v>675</v>
      </c>
      <c r="Q226" s="209">
        <v>1978</v>
      </c>
      <c r="R226" s="171">
        <v>7</v>
      </c>
      <c r="S226" s="171"/>
      <c r="T226" s="173"/>
      <c r="U226" s="171"/>
      <c r="V226" s="171"/>
      <c r="W226" s="171"/>
      <c r="X226" s="57">
        <v>0</v>
      </c>
      <c r="Y226" s="172">
        <v>2</v>
      </c>
      <c r="Z226" s="175" t="s">
        <v>1256</v>
      </c>
      <c r="AA226" s="176">
        <v>2021</v>
      </c>
      <c r="AB226" s="176">
        <v>7</v>
      </c>
      <c r="AC226" s="176">
        <v>15</v>
      </c>
      <c r="AD226" s="177" t="b">
        <f>IF(ISBLANK(GroupMember[[#This Row],[1. Identifiant interne d’exploitation agricole*]]),"",IF(ISERROR(MATCH(GroupMember[[#This Row],[1. Identifiant interne d’exploitation agricole*]],CertifiedCrop[1. Identifiant interne d’exploitation agricole*],0)),FALSE,TRUE))</f>
        <v>1</v>
      </c>
      <c r="AE226" s="177" t="b">
        <f>IF(ISBLANK(GroupMember[[#This Row],[1. Identifiant interne d’exploitation agricole*]]),"",IF(ISERROR(MATCH(GroupMember[[#This Row],[1. Identifiant interne d’exploitation agricole*]],FarmUnit[1. Identifiant interne d’exploitation agricole*],0)),FALSE,TRUE))</f>
        <v>1</v>
      </c>
      <c r="AF226" s="178" t="str">
        <f t="shared" si="12"/>
        <v>DELLY DODO MATHIAS</v>
      </c>
      <c r="AG226" s="179" t="str">
        <f t="shared" si="13"/>
        <v>15/7/2021</v>
      </c>
      <c r="AH226" s="180">
        <f t="shared" si="15"/>
        <v>4</v>
      </c>
      <c r="AI226" s="181">
        <f t="shared" si="14"/>
        <v>0.16666666666666666</v>
      </c>
    </row>
    <row r="227" spans="1:35" ht="15">
      <c r="A227" s="170" t="s">
        <v>1535</v>
      </c>
      <c r="B227" s="171" t="s">
        <v>1535</v>
      </c>
      <c r="C227" s="171" t="s">
        <v>1535</v>
      </c>
      <c r="D227" s="171" t="s">
        <v>1251</v>
      </c>
      <c r="E227" s="171" t="s">
        <v>668</v>
      </c>
      <c r="F227" s="171" t="s">
        <v>669</v>
      </c>
      <c r="G227" s="171" t="s">
        <v>670</v>
      </c>
      <c r="H227" s="195">
        <v>14.099299999999999</v>
      </c>
      <c r="I227" s="171" t="s">
        <v>671</v>
      </c>
      <c r="J227" s="57">
        <v>1</v>
      </c>
      <c r="K227" s="172">
        <v>2021</v>
      </c>
      <c r="L227" s="173" t="s">
        <v>1536</v>
      </c>
      <c r="M227" s="173" t="s">
        <v>1537</v>
      </c>
      <c r="N227" s="174" t="s">
        <v>1538</v>
      </c>
      <c r="O227" s="171" t="s">
        <v>1539</v>
      </c>
      <c r="P227" s="171" t="s">
        <v>675</v>
      </c>
      <c r="Q227" s="209">
        <v>1964</v>
      </c>
      <c r="R227" s="171">
        <v>13</v>
      </c>
      <c r="S227" s="171"/>
      <c r="T227" s="173"/>
      <c r="U227" s="171"/>
      <c r="V227" s="171"/>
      <c r="W227" s="171"/>
      <c r="X227" s="57">
        <v>2</v>
      </c>
      <c r="Y227" s="172">
        <v>4</v>
      </c>
      <c r="Z227" s="175" t="s">
        <v>1256</v>
      </c>
      <c r="AA227" s="176">
        <v>2021</v>
      </c>
      <c r="AB227" s="176">
        <v>8</v>
      </c>
      <c r="AC227" s="176">
        <v>16</v>
      </c>
      <c r="AD227" s="177" t="b">
        <f>IF(ISBLANK(GroupMember[[#This Row],[1. Identifiant interne d’exploitation agricole*]]),"",IF(ISERROR(MATCH(GroupMember[[#This Row],[1. Identifiant interne d’exploitation agricole*]],CertifiedCrop[1. Identifiant interne d’exploitation agricole*],0)),FALSE,TRUE))</f>
        <v>1</v>
      </c>
      <c r="AE227" s="177" t="b">
        <f>IF(ISBLANK(GroupMember[[#This Row],[1. Identifiant interne d’exploitation agricole*]]),"",IF(ISERROR(MATCH(GroupMember[[#This Row],[1. Identifiant interne d’exploitation agricole*]],FarmUnit[1. Identifiant interne d’exploitation agricole*],0)),FALSE,TRUE))</f>
        <v>1</v>
      </c>
      <c r="AF227" s="178" t="str">
        <f t="shared" si="12"/>
        <v>RAKISTABA  YAMBA AMIDOU</v>
      </c>
      <c r="AG227" s="179" t="str">
        <f t="shared" si="13"/>
        <v>16/8/2021</v>
      </c>
      <c r="AH227" s="180">
        <f t="shared" si="15"/>
        <v>5</v>
      </c>
      <c r="AI227" s="181">
        <f t="shared" si="14"/>
        <v>2.3333333333333335</v>
      </c>
    </row>
    <row r="228" spans="1:35" ht="15">
      <c r="A228" s="170" t="s">
        <v>1540</v>
      </c>
      <c r="B228" s="171" t="s">
        <v>1540</v>
      </c>
      <c r="C228" s="171" t="s">
        <v>1540</v>
      </c>
      <c r="D228" s="171" t="s">
        <v>1251</v>
      </c>
      <c r="E228" s="171" t="s">
        <v>668</v>
      </c>
      <c r="F228" s="171" t="s">
        <v>669</v>
      </c>
      <c r="G228" s="171" t="s">
        <v>670</v>
      </c>
      <c r="H228" s="195">
        <v>3.3669000000000002</v>
      </c>
      <c r="I228" s="171" t="s">
        <v>671</v>
      </c>
      <c r="J228" s="57">
        <v>1</v>
      </c>
      <c r="K228" s="172">
        <v>2021</v>
      </c>
      <c r="L228" s="173" t="s">
        <v>1541</v>
      </c>
      <c r="M228" s="173" t="s">
        <v>1542</v>
      </c>
      <c r="N228" s="174" t="s">
        <v>1543</v>
      </c>
      <c r="O228" s="171" t="s">
        <v>1544</v>
      </c>
      <c r="P228" s="171" t="s">
        <v>675</v>
      </c>
      <c r="Q228" s="209">
        <v>1976</v>
      </c>
      <c r="R228" s="171">
        <v>6</v>
      </c>
      <c r="S228" s="171"/>
      <c r="T228" s="173"/>
      <c r="U228" s="171"/>
      <c r="V228" s="171"/>
      <c r="W228" s="171"/>
      <c r="X228" s="57">
        <v>0</v>
      </c>
      <c r="Y228" s="172">
        <v>2</v>
      </c>
      <c r="Z228" s="175" t="s">
        <v>1256</v>
      </c>
      <c r="AA228" s="176">
        <v>2021</v>
      </c>
      <c r="AB228" s="176">
        <v>8</v>
      </c>
      <c r="AC228" s="176">
        <v>10</v>
      </c>
      <c r="AD228" s="177" t="b">
        <f>IF(ISBLANK(GroupMember[[#This Row],[1. Identifiant interne d’exploitation agricole*]]),"",IF(ISERROR(MATCH(GroupMember[[#This Row],[1. Identifiant interne d’exploitation agricole*]],CertifiedCrop[1. Identifiant interne d’exploitation agricole*],0)),FALSE,TRUE))</f>
        <v>1</v>
      </c>
      <c r="AE228" s="177" t="b">
        <f>IF(ISBLANK(GroupMember[[#This Row],[1. Identifiant interne d’exploitation agricole*]]),"",IF(ISERROR(MATCH(GroupMember[[#This Row],[1. Identifiant interne d’exploitation agricole*]],FarmUnit[1. Identifiant interne d’exploitation agricole*],0)),FALSE,TRUE))</f>
        <v>1</v>
      </c>
      <c r="AF228" s="178" t="str">
        <f t="shared" si="12"/>
        <v>SANGLA ALIDOU</v>
      </c>
      <c r="AG228" s="179" t="str">
        <f t="shared" si="13"/>
        <v>10/8/2021</v>
      </c>
      <c r="AH228" s="180">
        <f t="shared" si="15"/>
        <v>4</v>
      </c>
      <c r="AI228" s="181">
        <f t="shared" si="14"/>
        <v>0.16666666666666666</v>
      </c>
    </row>
    <row r="229" spans="1:35" ht="25.5">
      <c r="A229" s="170" t="s">
        <v>1545</v>
      </c>
      <c r="B229" s="171" t="s">
        <v>1545</v>
      </c>
      <c r="C229" s="171" t="s">
        <v>1545</v>
      </c>
      <c r="D229" s="171" t="s">
        <v>1251</v>
      </c>
      <c r="E229" s="171" t="s">
        <v>668</v>
      </c>
      <c r="F229" s="171" t="s">
        <v>669</v>
      </c>
      <c r="G229" s="171" t="s">
        <v>670</v>
      </c>
      <c r="H229" s="195">
        <v>5.6231</v>
      </c>
      <c r="I229" s="171" t="s">
        <v>671</v>
      </c>
      <c r="J229" s="57">
        <v>1</v>
      </c>
      <c r="K229" s="172">
        <v>2021</v>
      </c>
      <c r="L229" s="173" t="s">
        <v>1541</v>
      </c>
      <c r="M229" s="173" t="s">
        <v>1546</v>
      </c>
      <c r="N229" s="174" t="s">
        <v>1547</v>
      </c>
      <c r="O229" s="171" t="s">
        <v>2557</v>
      </c>
      <c r="P229" s="171" t="s">
        <v>675</v>
      </c>
      <c r="Q229" s="209">
        <v>1956</v>
      </c>
      <c r="R229" s="171">
        <v>19</v>
      </c>
      <c r="S229" s="171"/>
      <c r="T229" s="173"/>
      <c r="U229" s="171"/>
      <c r="V229" s="171"/>
      <c r="W229" s="171"/>
      <c r="X229" s="57">
        <v>0</v>
      </c>
      <c r="Y229" s="172">
        <v>2</v>
      </c>
      <c r="Z229" s="175" t="s">
        <v>1256</v>
      </c>
      <c r="AA229" s="176">
        <v>2021</v>
      </c>
      <c r="AB229" s="176">
        <v>7</v>
      </c>
      <c r="AC229" s="176">
        <v>13</v>
      </c>
      <c r="AD229" s="177" t="b">
        <f>IF(ISBLANK(GroupMember[[#This Row],[1. Identifiant interne d’exploitation agricole*]]),"",IF(ISERROR(MATCH(GroupMember[[#This Row],[1. Identifiant interne d’exploitation agricole*]],CertifiedCrop[1. Identifiant interne d’exploitation agricole*],0)),FALSE,TRUE))</f>
        <v>1</v>
      </c>
      <c r="AE229" s="177" t="b">
        <f>IF(ISBLANK(GroupMember[[#This Row],[1. Identifiant interne d’exploitation agricole*]]),"",IF(ISERROR(MATCH(GroupMember[[#This Row],[1. Identifiant interne d’exploitation agricole*]],FarmUnit[1. Identifiant interne d’exploitation agricole*],0)),FALSE,TRUE))</f>
        <v>1</v>
      </c>
      <c r="AF229" s="178" t="str">
        <f t="shared" si="12"/>
        <v>SANGLA SOUITAGNOMA BRAHIMA</v>
      </c>
      <c r="AG229" s="179" t="str">
        <f t="shared" si="13"/>
        <v>13/7/2021</v>
      </c>
      <c r="AH229" s="180">
        <f t="shared" si="15"/>
        <v>4</v>
      </c>
      <c r="AI229" s="181">
        <f t="shared" si="14"/>
        <v>0.16666666666666666</v>
      </c>
    </row>
    <row r="230" spans="1:35" ht="15">
      <c r="A230" s="170" t="s">
        <v>1548</v>
      </c>
      <c r="B230" s="171" t="s">
        <v>1548</v>
      </c>
      <c r="C230" s="171" t="s">
        <v>1548</v>
      </c>
      <c r="D230" s="171" t="s">
        <v>1251</v>
      </c>
      <c r="E230" s="171" t="s">
        <v>668</v>
      </c>
      <c r="F230" s="171" t="s">
        <v>669</v>
      </c>
      <c r="G230" s="171" t="s">
        <v>670</v>
      </c>
      <c r="H230" s="195">
        <v>2.2545999999999999</v>
      </c>
      <c r="I230" s="171" t="s">
        <v>671</v>
      </c>
      <c r="J230" s="57">
        <v>1</v>
      </c>
      <c r="K230" s="172">
        <v>2021</v>
      </c>
      <c r="L230" s="173" t="s">
        <v>759</v>
      </c>
      <c r="M230" s="173" t="s">
        <v>1549</v>
      </c>
      <c r="N230" s="174" t="s">
        <v>1550</v>
      </c>
      <c r="O230" s="171" t="s">
        <v>2553</v>
      </c>
      <c r="P230" s="171" t="s">
        <v>675</v>
      </c>
      <c r="Q230" s="209">
        <v>1985</v>
      </c>
      <c r="R230" s="171">
        <v>4</v>
      </c>
      <c r="S230" s="171"/>
      <c r="T230" s="173"/>
      <c r="U230" s="171"/>
      <c r="V230" s="171"/>
      <c r="W230" s="171"/>
      <c r="X230" s="57">
        <v>0</v>
      </c>
      <c r="Y230" s="172">
        <v>2</v>
      </c>
      <c r="Z230" s="175" t="s">
        <v>1256</v>
      </c>
      <c r="AA230" s="176">
        <v>2021</v>
      </c>
      <c r="AB230" s="176">
        <v>8</v>
      </c>
      <c r="AC230" s="176">
        <v>12</v>
      </c>
      <c r="AD230" s="177" t="b">
        <f>IF(ISBLANK(GroupMember[[#This Row],[1. Identifiant interne d’exploitation agricole*]]),"",IF(ISERROR(MATCH(GroupMember[[#This Row],[1. Identifiant interne d’exploitation agricole*]],CertifiedCrop[1. Identifiant interne d’exploitation agricole*],0)),FALSE,TRUE))</f>
        <v>1</v>
      </c>
      <c r="AE230" s="177" t="b">
        <f>IF(ISBLANK(GroupMember[[#This Row],[1. Identifiant interne d’exploitation agricole*]]),"",IF(ISERROR(MATCH(GroupMember[[#This Row],[1. Identifiant interne d’exploitation agricole*]],FarmUnit[1. Identifiant interne d’exploitation agricole*],0)),FALSE,TRUE))</f>
        <v>1</v>
      </c>
      <c r="AF230" s="178" t="str">
        <f t="shared" si="12"/>
        <v>RAKISTABA JEAN BAPTISTE</v>
      </c>
      <c r="AG230" s="179" t="str">
        <f t="shared" si="13"/>
        <v>12/8/2021</v>
      </c>
      <c r="AH230" s="180">
        <f t="shared" si="15"/>
        <v>5</v>
      </c>
      <c r="AI230" s="181">
        <f t="shared" si="14"/>
        <v>0.16666666666666666</v>
      </c>
    </row>
    <row r="231" spans="1:35" ht="15">
      <c r="A231" s="170" t="s">
        <v>1551</v>
      </c>
      <c r="B231" s="171" t="s">
        <v>1551</v>
      </c>
      <c r="C231" s="171" t="s">
        <v>1551</v>
      </c>
      <c r="D231" s="171" t="s">
        <v>1251</v>
      </c>
      <c r="E231" s="171" t="s">
        <v>668</v>
      </c>
      <c r="F231" s="171" t="s">
        <v>669</v>
      </c>
      <c r="G231" s="171" t="s">
        <v>670</v>
      </c>
      <c r="H231" s="195">
        <v>1.9531000000000001</v>
      </c>
      <c r="I231" s="171" t="s">
        <v>671</v>
      </c>
      <c r="J231" s="57">
        <v>1</v>
      </c>
      <c r="K231" s="172">
        <v>2021</v>
      </c>
      <c r="L231" s="173" t="s">
        <v>1552</v>
      </c>
      <c r="M231" s="173" t="s">
        <v>684</v>
      </c>
      <c r="N231" s="174" t="s">
        <v>1553</v>
      </c>
      <c r="O231" s="171" t="s">
        <v>2554</v>
      </c>
      <c r="P231" s="171" t="s">
        <v>675</v>
      </c>
      <c r="Q231" s="209">
        <v>1988</v>
      </c>
      <c r="R231" s="171">
        <v>4</v>
      </c>
      <c r="S231" s="171"/>
      <c r="T231" s="173"/>
      <c r="U231" s="171"/>
      <c r="V231" s="171"/>
      <c r="W231" s="171"/>
      <c r="X231" s="57">
        <v>0</v>
      </c>
      <c r="Y231" s="172">
        <v>2</v>
      </c>
      <c r="Z231" s="175" t="s">
        <v>1256</v>
      </c>
      <c r="AA231" s="176">
        <v>2021</v>
      </c>
      <c r="AB231" s="176">
        <v>8</v>
      </c>
      <c r="AC231" s="176">
        <v>24</v>
      </c>
      <c r="AD231" s="177" t="b">
        <f>IF(ISBLANK(GroupMember[[#This Row],[1. Identifiant interne d’exploitation agricole*]]),"",IF(ISERROR(MATCH(GroupMember[[#This Row],[1. Identifiant interne d’exploitation agricole*]],CertifiedCrop[1. Identifiant interne d’exploitation agricole*],0)),FALSE,TRUE))</f>
        <v>1</v>
      </c>
      <c r="AE231" s="177" t="b">
        <f>IF(ISBLANK(GroupMember[[#This Row],[1. Identifiant interne d’exploitation agricole*]]),"",IF(ISERROR(MATCH(GroupMember[[#This Row],[1. Identifiant interne d’exploitation agricole*]],FarmUnit[1. Identifiant interne d’exploitation agricole*],0)),FALSE,TRUE))</f>
        <v>1</v>
      </c>
      <c r="AF231" s="178" t="str">
        <f t="shared" si="12"/>
        <v>BARRY MOUSSA</v>
      </c>
      <c r="AG231" s="179" t="str">
        <f t="shared" si="13"/>
        <v>24/8/2021</v>
      </c>
      <c r="AH231" s="180">
        <f t="shared" si="15"/>
        <v>6</v>
      </c>
      <c r="AI231" s="181">
        <f t="shared" si="14"/>
        <v>0.16666666666666666</v>
      </c>
    </row>
    <row r="232" spans="1:35" ht="15">
      <c r="A232" s="170" t="s">
        <v>1554</v>
      </c>
      <c r="B232" s="171" t="s">
        <v>1554</v>
      </c>
      <c r="C232" s="171" t="s">
        <v>1554</v>
      </c>
      <c r="D232" s="171" t="s">
        <v>1251</v>
      </c>
      <c r="E232" s="171" t="s">
        <v>668</v>
      </c>
      <c r="F232" s="171" t="s">
        <v>669</v>
      </c>
      <c r="G232" s="171" t="s">
        <v>670</v>
      </c>
      <c r="H232" s="195">
        <v>2.8887</v>
      </c>
      <c r="I232" s="171" t="s">
        <v>671</v>
      </c>
      <c r="J232" s="57">
        <v>1</v>
      </c>
      <c r="K232" s="172">
        <v>2021</v>
      </c>
      <c r="L232" s="173" t="s">
        <v>1555</v>
      </c>
      <c r="M232" s="173" t="s">
        <v>1556</v>
      </c>
      <c r="N232" s="174" t="s">
        <v>1557</v>
      </c>
      <c r="O232" s="171" t="s">
        <v>2555</v>
      </c>
      <c r="P232" s="171" t="s">
        <v>720</v>
      </c>
      <c r="Q232" s="209">
        <v>1974</v>
      </c>
      <c r="R232" s="171">
        <v>5</v>
      </c>
      <c r="S232" s="171"/>
      <c r="T232" s="173"/>
      <c r="U232" s="171"/>
      <c r="V232" s="171"/>
      <c r="W232" s="171"/>
      <c r="X232" s="57">
        <v>0</v>
      </c>
      <c r="Y232" s="172">
        <v>2</v>
      </c>
      <c r="Z232" s="175" t="s">
        <v>1256</v>
      </c>
      <c r="AA232" s="176">
        <v>2021</v>
      </c>
      <c r="AB232" s="176">
        <v>7</v>
      </c>
      <c r="AC232" s="176">
        <v>20</v>
      </c>
      <c r="AD232" s="177" t="b">
        <f>IF(ISBLANK(GroupMember[[#This Row],[1. Identifiant interne d’exploitation agricole*]]),"",IF(ISERROR(MATCH(GroupMember[[#This Row],[1. Identifiant interne d’exploitation agricole*]],CertifiedCrop[1. Identifiant interne d’exploitation agricole*],0)),FALSE,TRUE))</f>
        <v>1</v>
      </c>
      <c r="AE232" s="177" t="b">
        <f>IF(ISBLANK(GroupMember[[#This Row],[1. Identifiant interne d’exploitation agricole*]]),"",IF(ISERROR(MATCH(GroupMember[[#This Row],[1. Identifiant interne d’exploitation agricole*]],FarmUnit[1. Identifiant interne d’exploitation agricole*],0)),FALSE,TRUE))</f>
        <v>1</v>
      </c>
      <c r="AF232" s="178" t="str">
        <f t="shared" si="12"/>
        <v>KONAN AKISSI YVONE</v>
      </c>
      <c r="AG232" s="179" t="str">
        <f t="shared" si="13"/>
        <v>20/7/2021</v>
      </c>
      <c r="AH232" s="180">
        <f t="shared" si="15"/>
        <v>5</v>
      </c>
      <c r="AI232" s="181">
        <f t="shared" si="14"/>
        <v>0.16666666666666666</v>
      </c>
    </row>
    <row r="233" spans="1:35" ht="15">
      <c r="A233" s="170" t="s">
        <v>1558</v>
      </c>
      <c r="B233" s="171" t="s">
        <v>1558</v>
      </c>
      <c r="C233" s="171" t="s">
        <v>1558</v>
      </c>
      <c r="D233" s="171" t="s">
        <v>1251</v>
      </c>
      <c r="E233" s="171" t="s">
        <v>668</v>
      </c>
      <c r="F233" s="171" t="s">
        <v>669</v>
      </c>
      <c r="G233" s="171" t="s">
        <v>670</v>
      </c>
      <c r="H233" s="195">
        <v>5.0171999999999999</v>
      </c>
      <c r="I233" s="171" t="s">
        <v>671</v>
      </c>
      <c r="J233" s="57">
        <v>1</v>
      </c>
      <c r="K233" s="172">
        <v>2021</v>
      </c>
      <c r="L233" s="173" t="s">
        <v>1559</v>
      </c>
      <c r="M233" s="173" t="s">
        <v>1560</v>
      </c>
      <c r="N233" s="174" t="s">
        <v>1561</v>
      </c>
      <c r="O233" s="171" t="s">
        <v>2556</v>
      </c>
      <c r="P233" s="171" t="s">
        <v>720</v>
      </c>
      <c r="Q233" s="209">
        <v>1967</v>
      </c>
      <c r="R233" s="171">
        <v>5</v>
      </c>
      <c r="S233" s="171"/>
      <c r="T233" s="173"/>
      <c r="U233" s="171"/>
      <c r="V233" s="171"/>
      <c r="W233" s="171"/>
      <c r="X233" s="57">
        <v>0</v>
      </c>
      <c r="Y233" s="172">
        <v>2</v>
      </c>
      <c r="Z233" s="175" t="s">
        <v>1256</v>
      </c>
      <c r="AA233" s="176">
        <v>2021</v>
      </c>
      <c r="AB233" s="176">
        <v>8</v>
      </c>
      <c r="AC233" s="176">
        <v>25</v>
      </c>
      <c r="AD233" s="177" t="b">
        <f>IF(ISBLANK(GroupMember[[#This Row],[1. Identifiant interne d’exploitation agricole*]]),"",IF(ISERROR(MATCH(GroupMember[[#This Row],[1. Identifiant interne d’exploitation agricole*]],CertifiedCrop[1. Identifiant interne d’exploitation agricole*],0)),FALSE,TRUE))</f>
        <v>1</v>
      </c>
      <c r="AE233" s="177" t="b">
        <f>IF(ISBLANK(GroupMember[[#This Row],[1. Identifiant interne d’exploitation agricole*]]),"",IF(ISERROR(MATCH(GroupMember[[#This Row],[1. Identifiant interne d’exploitation agricole*]],FarmUnit[1. Identifiant interne d’exploitation agricole*],0)),FALSE,TRUE))</f>
        <v>1</v>
      </c>
      <c r="AF233" s="178" t="str">
        <f t="shared" si="12"/>
        <v>KOUAME KOFFI NICOLE</v>
      </c>
      <c r="AG233" s="179" t="str">
        <f t="shared" si="13"/>
        <v>25/8/2021</v>
      </c>
      <c r="AH233" s="180">
        <f t="shared" si="15"/>
        <v>5</v>
      </c>
      <c r="AI233" s="181">
        <f t="shared" si="14"/>
        <v>0.16666666666666666</v>
      </c>
    </row>
    <row r="234" spans="1:35" ht="15">
      <c r="A234" s="170" t="s">
        <v>1562</v>
      </c>
      <c r="B234" s="171" t="s">
        <v>1562</v>
      </c>
      <c r="C234" s="171" t="s">
        <v>1562</v>
      </c>
      <c r="D234" s="171" t="s">
        <v>1251</v>
      </c>
      <c r="E234" s="171" t="s">
        <v>668</v>
      </c>
      <c r="F234" s="171" t="s">
        <v>669</v>
      </c>
      <c r="G234" s="171" t="s">
        <v>670</v>
      </c>
      <c r="H234" s="195">
        <v>4.6019000000000005</v>
      </c>
      <c r="I234" s="171" t="s">
        <v>671</v>
      </c>
      <c r="J234" s="57">
        <v>1</v>
      </c>
      <c r="K234" s="172">
        <v>2021</v>
      </c>
      <c r="L234" s="173" t="s">
        <v>1563</v>
      </c>
      <c r="M234" s="173" t="s">
        <v>1564</v>
      </c>
      <c r="N234" s="174" t="s">
        <v>1565</v>
      </c>
      <c r="O234" s="171" t="s">
        <v>1566</v>
      </c>
      <c r="P234" s="171" t="s">
        <v>675</v>
      </c>
      <c r="Q234" s="209">
        <v>1967</v>
      </c>
      <c r="R234" s="171">
        <v>4</v>
      </c>
      <c r="S234" s="171"/>
      <c r="T234" s="173"/>
      <c r="U234" s="171"/>
      <c r="V234" s="171"/>
      <c r="W234" s="171"/>
      <c r="X234" s="57">
        <v>0</v>
      </c>
      <c r="Y234" s="172">
        <v>2</v>
      </c>
      <c r="Z234" s="175" t="s">
        <v>1256</v>
      </c>
      <c r="AA234" s="176">
        <v>2021</v>
      </c>
      <c r="AB234" s="176">
        <v>8</v>
      </c>
      <c r="AC234" s="176">
        <v>11</v>
      </c>
      <c r="AD234" s="177" t="b">
        <f>IF(ISBLANK(GroupMember[[#This Row],[1. Identifiant interne d’exploitation agricole*]]),"",IF(ISERROR(MATCH(GroupMember[[#This Row],[1. Identifiant interne d’exploitation agricole*]],CertifiedCrop[1. Identifiant interne d’exploitation agricole*],0)),FALSE,TRUE))</f>
        <v>1</v>
      </c>
      <c r="AE234" s="177" t="b">
        <f>IF(ISBLANK(GroupMember[[#This Row],[1. Identifiant interne d’exploitation agricole*]]),"",IF(ISERROR(MATCH(GroupMember[[#This Row],[1. Identifiant interne d’exploitation agricole*]],FarmUnit[1. Identifiant interne d’exploitation agricole*],0)),FALSE,TRUE))</f>
        <v>1</v>
      </c>
      <c r="AF234" s="178" t="str">
        <f t="shared" si="12"/>
        <v>KOMENAN KOUAME  GERVAIS</v>
      </c>
      <c r="AG234" s="179" t="str">
        <f t="shared" si="13"/>
        <v>11/8/2021</v>
      </c>
      <c r="AH234" s="180">
        <f t="shared" si="15"/>
        <v>4</v>
      </c>
      <c r="AI234" s="181">
        <f t="shared" si="14"/>
        <v>0.16666666666666666</v>
      </c>
    </row>
    <row r="235" spans="1:35" ht="15">
      <c r="A235" s="170" t="s">
        <v>1567</v>
      </c>
      <c r="B235" s="171" t="s">
        <v>1567</v>
      </c>
      <c r="C235" s="171" t="s">
        <v>1567</v>
      </c>
      <c r="D235" s="171" t="s">
        <v>1251</v>
      </c>
      <c r="E235" s="171" t="s">
        <v>668</v>
      </c>
      <c r="F235" s="171" t="s">
        <v>669</v>
      </c>
      <c r="G235" s="171" t="s">
        <v>670</v>
      </c>
      <c r="H235" s="195">
        <v>2.4196999999999997</v>
      </c>
      <c r="I235" s="171" t="s">
        <v>671</v>
      </c>
      <c r="J235" s="57">
        <v>1</v>
      </c>
      <c r="K235" s="172">
        <v>2021</v>
      </c>
      <c r="L235" s="173" t="s">
        <v>800</v>
      </c>
      <c r="M235" s="173" t="s">
        <v>1568</v>
      </c>
      <c r="N235" s="174" t="s">
        <v>1569</v>
      </c>
      <c r="O235" s="171" t="s">
        <v>2558</v>
      </c>
      <c r="P235" s="171" t="s">
        <v>675</v>
      </c>
      <c r="Q235" s="209">
        <v>1960</v>
      </c>
      <c r="R235" s="171">
        <v>7</v>
      </c>
      <c r="S235" s="171"/>
      <c r="T235" s="173"/>
      <c r="U235" s="171"/>
      <c r="V235" s="171"/>
      <c r="W235" s="171"/>
      <c r="X235" s="57">
        <v>0</v>
      </c>
      <c r="Y235" s="172">
        <v>2</v>
      </c>
      <c r="Z235" s="175" t="s">
        <v>1256</v>
      </c>
      <c r="AA235" s="176">
        <v>2021</v>
      </c>
      <c r="AB235" s="176">
        <v>7</v>
      </c>
      <c r="AC235" s="176">
        <v>15</v>
      </c>
      <c r="AD235" s="177" t="b">
        <f>IF(ISBLANK(GroupMember[[#This Row],[1. Identifiant interne d’exploitation agricole*]]),"",IF(ISERROR(MATCH(GroupMember[[#This Row],[1. Identifiant interne d’exploitation agricole*]],CertifiedCrop[1. Identifiant interne d’exploitation agricole*],0)),FALSE,TRUE))</f>
        <v>1</v>
      </c>
      <c r="AE235" s="177" t="b">
        <f>IF(ISBLANK(GroupMember[[#This Row],[1. Identifiant interne d’exploitation agricole*]]),"",IF(ISERROR(MATCH(GroupMember[[#This Row],[1. Identifiant interne d’exploitation agricole*]],FarmUnit[1. Identifiant interne d’exploitation agricole*],0)),FALSE,TRUE))</f>
        <v>1</v>
      </c>
      <c r="AF235" s="178" t="str">
        <f t="shared" si="12"/>
        <v>YEO GNINININOJOME</v>
      </c>
      <c r="AG235" s="179" t="str">
        <f t="shared" si="13"/>
        <v>15/7/2021</v>
      </c>
      <c r="AH235" s="180">
        <f t="shared" si="15"/>
        <v>4</v>
      </c>
      <c r="AI235" s="181">
        <f t="shared" si="14"/>
        <v>0.16666666666666666</v>
      </c>
    </row>
    <row r="236" spans="1:35" ht="15">
      <c r="A236" s="170" t="s">
        <v>1570</v>
      </c>
      <c r="B236" s="171" t="s">
        <v>1570</v>
      </c>
      <c r="C236" s="171" t="s">
        <v>1570</v>
      </c>
      <c r="D236" s="171" t="s">
        <v>1251</v>
      </c>
      <c r="E236" s="171" t="s">
        <v>668</v>
      </c>
      <c r="F236" s="171" t="s">
        <v>669</v>
      </c>
      <c r="G236" s="171" t="s">
        <v>670</v>
      </c>
      <c r="H236" s="195">
        <v>2.5289999999999999</v>
      </c>
      <c r="I236" s="171" t="s">
        <v>671</v>
      </c>
      <c r="J236" s="57">
        <v>1</v>
      </c>
      <c r="K236" s="172">
        <v>2021</v>
      </c>
      <c r="L236" s="173" t="s">
        <v>1571</v>
      </c>
      <c r="M236" s="173" t="s">
        <v>1274</v>
      </c>
      <c r="N236" s="174" t="s">
        <v>1572</v>
      </c>
      <c r="O236" s="171" t="s">
        <v>2559</v>
      </c>
      <c r="P236" s="171" t="s">
        <v>675</v>
      </c>
      <c r="Q236" s="209">
        <v>1972</v>
      </c>
      <c r="R236" s="171">
        <v>3</v>
      </c>
      <c r="S236" s="171"/>
      <c r="T236" s="173"/>
      <c r="U236" s="171"/>
      <c r="V236" s="171"/>
      <c r="W236" s="171"/>
      <c r="X236" s="57">
        <v>0</v>
      </c>
      <c r="Y236" s="172">
        <v>2</v>
      </c>
      <c r="Z236" s="175" t="s">
        <v>1256</v>
      </c>
      <c r="AA236" s="176">
        <v>2021</v>
      </c>
      <c r="AB236" s="176">
        <v>8</v>
      </c>
      <c r="AC236" s="176">
        <v>20</v>
      </c>
      <c r="AD236" s="177" t="b">
        <f>IF(ISBLANK(GroupMember[[#This Row],[1. Identifiant interne d’exploitation agricole*]]),"",IF(ISERROR(MATCH(GroupMember[[#This Row],[1. Identifiant interne d’exploitation agricole*]],CertifiedCrop[1. Identifiant interne d’exploitation agricole*],0)),FALSE,TRUE))</f>
        <v>1</v>
      </c>
      <c r="AE236" s="177" t="b">
        <f>IF(ISBLANK(GroupMember[[#This Row],[1. Identifiant interne d’exploitation agricole*]]),"",IF(ISERROR(MATCH(GroupMember[[#This Row],[1. Identifiant interne d’exploitation agricole*]],FarmUnit[1. Identifiant interne d’exploitation agricole*],0)),FALSE,TRUE))</f>
        <v>1</v>
      </c>
      <c r="AF236" s="178" t="str">
        <f t="shared" si="12"/>
        <v>OULAI TIEMOKO LEONARD</v>
      </c>
      <c r="AG236" s="179" t="str">
        <f t="shared" si="13"/>
        <v>20/8/2021</v>
      </c>
      <c r="AH236" s="180">
        <f t="shared" si="15"/>
        <v>4</v>
      </c>
      <c r="AI236" s="181">
        <f t="shared" si="14"/>
        <v>0.16666666666666666</v>
      </c>
    </row>
    <row r="237" spans="1:35" ht="15">
      <c r="A237" s="170" t="s">
        <v>1573</v>
      </c>
      <c r="B237" s="171" t="s">
        <v>1573</v>
      </c>
      <c r="C237" s="171" t="s">
        <v>1573</v>
      </c>
      <c r="D237" s="171" t="s">
        <v>1251</v>
      </c>
      <c r="E237" s="171" t="s">
        <v>668</v>
      </c>
      <c r="F237" s="171" t="s">
        <v>669</v>
      </c>
      <c r="G237" s="171" t="s">
        <v>670</v>
      </c>
      <c r="H237" s="195">
        <v>3.0562</v>
      </c>
      <c r="I237" s="171" t="s">
        <v>671</v>
      </c>
      <c r="J237" s="57">
        <v>1</v>
      </c>
      <c r="K237" s="172">
        <v>2021</v>
      </c>
      <c r="L237" s="173" t="s">
        <v>1574</v>
      </c>
      <c r="M237" s="173" t="s">
        <v>1575</v>
      </c>
      <c r="N237" s="174" t="s">
        <v>1576</v>
      </c>
      <c r="O237" s="171" t="s">
        <v>1577</v>
      </c>
      <c r="P237" s="171" t="s">
        <v>675</v>
      </c>
      <c r="Q237" s="209">
        <v>1970</v>
      </c>
      <c r="R237" s="171">
        <v>6</v>
      </c>
      <c r="S237" s="171"/>
      <c r="T237" s="173"/>
      <c r="U237" s="171"/>
      <c r="V237" s="171"/>
      <c r="W237" s="171"/>
      <c r="X237" s="57">
        <v>0</v>
      </c>
      <c r="Y237" s="172">
        <v>2</v>
      </c>
      <c r="Z237" s="175" t="s">
        <v>1256</v>
      </c>
      <c r="AA237" s="176">
        <v>2021</v>
      </c>
      <c r="AB237" s="176">
        <v>8</v>
      </c>
      <c r="AC237" s="176">
        <v>3</v>
      </c>
      <c r="AD237" s="177" t="b">
        <f>IF(ISBLANK(GroupMember[[#This Row],[1. Identifiant interne d’exploitation agricole*]]),"",IF(ISERROR(MATCH(GroupMember[[#This Row],[1. Identifiant interne d’exploitation agricole*]],CertifiedCrop[1. Identifiant interne d’exploitation agricole*],0)),FALSE,TRUE))</f>
        <v>1</v>
      </c>
      <c r="AE237" s="177" t="b">
        <f>IF(ISBLANK(GroupMember[[#This Row],[1. Identifiant interne d’exploitation agricole*]]),"",IF(ISERROR(MATCH(GroupMember[[#This Row],[1. Identifiant interne d’exploitation agricole*]],FarmUnit[1. Identifiant interne d’exploitation agricole*],0)),FALSE,TRUE))</f>
        <v>1</v>
      </c>
      <c r="AF237" s="178" t="str">
        <f t="shared" si="12"/>
        <v>KONAN  KOUASSI</v>
      </c>
      <c r="AG237" s="179" t="str">
        <f t="shared" si="13"/>
        <v>3/8/2021</v>
      </c>
      <c r="AH237" s="180">
        <f t="shared" si="15"/>
        <v>5</v>
      </c>
      <c r="AI237" s="181">
        <f t="shared" si="14"/>
        <v>0.16666666666666666</v>
      </c>
    </row>
    <row r="238" spans="1:35" ht="15">
      <c r="A238" s="170" t="s">
        <v>1578</v>
      </c>
      <c r="B238" s="171" t="s">
        <v>1578</v>
      </c>
      <c r="C238" s="171" t="s">
        <v>1578</v>
      </c>
      <c r="D238" s="171" t="s">
        <v>1251</v>
      </c>
      <c r="E238" s="171" t="s">
        <v>668</v>
      </c>
      <c r="F238" s="171" t="s">
        <v>669</v>
      </c>
      <c r="G238" s="171" t="s">
        <v>670</v>
      </c>
      <c r="H238" s="195">
        <v>3.8653</v>
      </c>
      <c r="I238" s="171" t="s">
        <v>671</v>
      </c>
      <c r="J238" s="57">
        <v>1</v>
      </c>
      <c r="K238" s="172">
        <v>2021</v>
      </c>
      <c r="L238" s="173" t="s">
        <v>1579</v>
      </c>
      <c r="M238" s="173" t="s">
        <v>1580</v>
      </c>
      <c r="N238" s="174" t="s">
        <v>1581</v>
      </c>
      <c r="O238" s="171" t="s">
        <v>1582</v>
      </c>
      <c r="P238" s="171" t="s">
        <v>675</v>
      </c>
      <c r="Q238" s="209">
        <v>1967</v>
      </c>
      <c r="R238" s="171">
        <v>4</v>
      </c>
      <c r="S238" s="171"/>
      <c r="T238" s="173"/>
      <c r="U238" s="171"/>
      <c r="V238" s="171"/>
      <c r="W238" s="171"/>
      <c r="X238" s="57">
        <v>0</v>
      </c>
      <c r="Y238" s="172">
        <v>2</v>
      </c>
      <c r="Z238" s="175" t="s">
        <v>1256</v>
      </c>
      <c r="AA238" s="176">
        <v>2021</v>
      </c>
      <c r="AB238" s="176">
        <v>7</v>
      </c>
      <c r="AC238" s="176">
        <v>8</v>
      </c>
      <c r="AD238" s="177" t="b">
        <f>IF(ISBLANK(GroupMember[[#This Row],[1. Identifiant interne d’exploitation agricole*]]),"",IF(ISERROR(MATCH(GroupMember[[#This Row],[1. Identifiant interne d’exploitation agricole*]],CertifiedCrop[1. Identifiant interne d’exploitation agricole*],0)),FALSE,TRUE))</f>
        <v>1</v>
      </c>
      <c r="AE238" s="177" t="b">
        <f>IF(ISBLANK(GroupMember[[#This Row],[1. Identifiant interne d’exploitation agricole*]]),"",IF(ISERROR(MATCH(GroupMember[[#This Row],[1. Identifiant interne d’exploitation agricole*]],FarmUnit[1. Identifiant interne d’exploitation agricole*],0)),FALSE,TRUE))</f>
        <v>1</v>
      </c>
      <c r="AF238" s="178" t="str">
        <f t="shared" si="12"/>
        <v>KRA YA  PELIA</v>
      </c>
      <c r="AG238" s="179" t="str">
        <f t="shared" si="13"/>
        <v>8/7/2021</v>
      </c>
      <c r="AH238" s="180">
        <f t="shared" si="15"/>
        <v>6</v>
      </c>
      <c r="AI238" s="181">
        <f t="shared" si="14"/>
        <v>0.16666666666666666</v>
      </c>
    </row>
    <row r="239" spans="1:35" ht="15">
      <c r="A239" s="170" t="s">
        <v>1583</v>
      </c>
      <c r="B239" s="171" t="s">
        <v>1583</v>
      </c>
      <c r="C239" s="171" t="s">
        <v>1583</v>
      </c>
      <c r="D239" s="171" t="s">
        <v>1251</v>
      </c>
      <c r="E239" s="171" t="s">
        <v>668</v>
      </c>
      <c r="F239" s="171" t="s">
        <v>669</v>
      </c>
      <c r="G239" s="171" t="s">
        <v>670</v>
      </c>
      <c r="H239" s="195">
        <v>2.6417000000000002</v>
      </c>
      <c r="I239" s="171" t="s">
        <v>671</v>
      </c>
      <c r="J239" s="57">
        <v>1</v>
      </c>
      <c r="K239" s="172">
        <v>2021</v>
      </c>
      <c r="L239" s="173" t="s">
        <v>1584</v>
      </c>
      <c r="M239" s="173" t="s">
        <v>1585</v>
      </c>
      <c r="N239" s="174" t="s">
        <v>1586</v>
      </c>
      <c r="O239" s="171" t="s">
        <v>2560</v>
      </c>
      <c r="P239" s="171" t="s">
        <v>675</v>
      </c>
      <c r="Q239" s="209">
        <v>1979</v>
      </c>
      <c r="R239" s="171">
        <v>3</v>
      </c>
      <c r="S239" s="171"/>
      <c r="T239" s="173"/>
      <c r="U239" s="171"/>
      <c r="V239" s="171"/>
      <c r="W239" s="171"/>
      <c r="X239" s="57">
        <v>0</v>
      </c>
      <c r="Y239" s="172">
        <v>2</v>
      </c>
      <c r="Z239" s="175" t="s">
        <v>1256</v>
      </c>
      <c r="AA239" s="176">
        <v>2021</v>
      </c>
      <c r="AB239" s="176">
        <v>8</v>
      </c>
      <c r="AC239" s="176">
        <v>26</v>
      </c>
      <c r="AD239" s="177" t="b">
        <f>IF(ISBLANK(GroupMember[[#This Row],[1. Identifiant interne d’exploitation agricole*]]),"",IF(ISERROR(MATCH(GroupMember[[#This Row],[1. Identifiant interne d’exploitation agricole*]],CertifiedCrop[1. Identifiant interne d’exploitation agricole*],0)),FALSE,TRUE))</f>
        <v>1</v>
      </c>
      <c r="AE239" s="177" t="b">
        <f>IF(ISBLANK(GroupMember[[#This Row],[1. Identifiant interne d’exploitation agricole*]]),"",IF(ISERROR(MATCH(GroupMember[[#This Row],[1. Identifiant interne d’exploitation agricole*]],FarmUnit[1. Identifiant interne d’exploitation agricole*],0)),FALSE,TRUE))</f>
        <v>1</v>
      </c>
      <c r="AF239" s="178" t="str">
        <f t="shared" si="12"/>
        <v>KOUAME YAO SIMPLICE</v>
      </c>
      <c r="AG239" s="179" t="str">
        <f t="shared" si="13"/>
        <v>26/8/2021</v>
      </c>
      <c r="AH239" s="180">
        <f t="shared" si="15"/>
        <v>4</v>
      </c>
      <c r="AI239" s="181">
        <f t="shared" si="14"/>
        <v>0.16666666666666666</v>
      </c>
    </row>
    <row r="240" spans="1:35" ht="15">
      <c r="A240" s="170" t="s">
        <v>1587</v>
      </c>
      <c r="B240" s="171" t="s">
        <v>1587</v>
      </c>
      <c r="C240" s="171" t="s">
        <v>1587</v>
      </c>
      <c r="D240" s="171" t="s">
        <v>1251</v>
      </c>
      <c r="E240" s="171" t="s">
        <v>668</v>
      </c>
      <c r="F240" s="171" t="s">
        <v>669</v>
      </c>
      <c r="G240" s="171" t="s">
        <v>670</v>
      </c>
      <c r="H240" s="195">
        <v>4.2935999999999996</v>
      </c>
      <c r="I240" s="171" t="s">
        <v>671</v>
      </c>
      <c r="J240" s="57">
        <v>1</v>
      </c>
      <c r="K240" s="172">
        <v>2021</v>
      </c>
      <c r="L240" s="173" t="s">
        <v>1588</v>
      </c>
      <c r="M240" s="173" t="s">
        <v>1153</v>
      </c>
      <c r="N240" s="174" t="s">
        <v>1589</v>
      </c>
      <c r="O240" s="171" t="s">
        <v>2561</v>
      </c>
      <c r="P240" s="171" t="s">
        <v>675</v>
      </c>
      <c r="Q240" s="209">
        <v>1968</v>
      </c>
      <c r="R240" s="171">
        <v>5</v>
      </c>
      <c r="S240" s="171"/>
      <c r="T240" s="173"/>
      <c r="U240" s="171"/>
      <c r="V240" s="171"/>
      <c r="W240" s="171"/>
      <c r="X240" s="57">
        <v>0</v>
      </c>
      <c r="Y240" s="172">
        <v>2</v>
      </c>
      <c r="Z240" s="175" t="s">
        <v>1256</v>
      </c>
      <c r="AA240" s="176">
        <v>2021</v>
      </c>
      <c r="AB240" s="176">
        <v>7</v>
      </c>
      <c r="AC240" s="176">
        <v>22</v>
      </c>
      <c r="AD240" s="177" t="b">
        <f>IF(ISBLANK(GroupMember[[#This Row],[1. Identifiant interne d’exploitation agricole*]]),"",IF(ISERROR(MATCH(GroupMember[[#This Row],[1. Identifiant interne d’exploitation agricole*]],CertifiedCrop[1. Identifiant interne d’exploitation agricole*],0)),FALSE,TRUE))</f>
        <v>1</v>
      </c>
      <c r="AE240" s="177" t="b">
        <f>IF(ISBLANK(GroupMember[[#This Row],[1. Identifiant interne d’exploitation agricole*]]),"",IF(ISERROR(MATCH(GroupMember[[#This Row],[1. Identifiant interne d’exploitation agricole*]],FarmUnit[1. Identifiant interne d’exploitation agricole*],0)),FALSE,TRUE))</f>
        <v>1</v>
      </c>
      <c r="AF240" s="178" t="str">
        <f t="shared" si="12"/>
        <v>N'ZUE KOUAME  PHILIPPE</v>
      </c>
      <c r="AG240" s="179" t="str">
        <f t="shared" si="13"/>
        <v>22/7/2021</v>
      </c>
      <c r="AH240" s="180">
        <f t="shared" si="15"/>
        <v>5</v>
      </c>
      <c r="AI240" s="181">
        <f t="shared" si="14"/>
        <v>0.16666666666666666</v>
      </c>
    </row>
    <row r="241" spans="1:35" ht="15">
      <c r="A241" s="170" t="s">
        <v>1590</v>
      </c>
      <c r="B241" s="171" t="s">
        <v>1590</v>
      </c>
      <c r="C241" s="171" t="s">
        <v>1590</v>
      </c>
      <c r="D241" s="171" t="s">
        <v>1251</v>
      </c>
      <c r="E241" s="171" t="s">
        <v>668</v>
      </c>
      <c r="F241" s="171" t="s">
        <v>669</v>
      </c>
      <c r="G241" s="171" t="s">
        <v>670</v>
      </c>
      <c r="H241" s="195">
        <v>5.3456999999999999</v>
      </c>
      <c r="I241" s="171" t="s">
        <v>671</v>
      </c>
      <c r="J241" s="57">
        <v>1</v>
      </c>
      <c r="K241" s="172">
        <v>2021</v>
      </c>
      <c r="L241" s="173" t="s">
        <v>1591</v>
      </c>
      <c r="M241" s="173" t="s">
        <v>1592</v>
      </c>
      <c r="N241" s="174" t="s">
        <v>1593</v>
      </c>
      <c r="O241" s="171" t="s">
        <v>1594</v>
      </c>
      <c r="P241" s="171" t="s">
        <v>675</v>
      </c>
      <c r="Q241" s="209">
        <v>1977</v>
      </c>
      <c r="R241" s="171">
        <v>6</v>
      </c>
      <c r="S241" s="171"/>
      <c r="T241" s="173"/>
      <c r="U241" s="171"/>
      <c r="V241" s="171"/>
      <c r="W241" s="171"/>
      <c r="X241" s="57">
        <v>0</v>
      </c>
      <c r="Y241" s="172">
        <v>2</v>
      </c>
      <c r="Z241" s="175" t="s">
        <v>1256</v>
      </c>
      <c r="AA241" s="176">
        <v>2021</v>
      </c>
      <c r="AB241" s="176">
        <v>8</v>
      </c>
      <c r="AC241" s="176">
        <v>18</v>
      </c>
      <c r="AD241" s="177" t="b">
        <f>IF(ISBLANK(GroupMember[[#This Row],[1. Identifiant interne d’exploitation agricole*]]),"",IF(ISERROR(MATCH(GroupMember[[#This Row],[1. Identifiant interne d’exploitation agricole*]],CertifiedCrop[1. Identifiant interne d’exploitation agricole*],0)),FALSE,TRUE))</f>
        <v>1</v>
      </c>
      <c r="AE241" s="177" t="b">
        <f>IF(ISBLANK(GroupMember[[#This Row],[1. Identifiant interne d’exploitation agricole*]]),"",IF(ISERROR(MATCH(GroupMember[[#This Row],[1. Identifiant interne d’exploitation agricole*]],FarmUnit[1. Identifiant interne d’exploitation agricole*],0)),FALSE,TRUE))</f>
        <v>1</v>
      </c>
      <c r="AF241" s="178" t="str">
        <f t="shared" si="12"/>
        <v>KOUAKOU KONAN BERNARD</v>
      </c>
      <c r="AG241" s="179" t="str">
        <f t="shared" si="13"/>
        <v>18/8/2021</v>
      </c>
      <c r="AH241" s="180">
        <f t="shared" si="15"/>
        <v>2</v>
      </c>
      <c r="AI241" s="181">
        <f t="shared" si="14"/>
        <v>0.16666666666666666</v>
      </c>
    </row>
    <row r="242" spans="1:35" ht="15">
      <c r="A242" s="170" t="s">
        <v>1595</v>
      </c>
      <c r="B242" s="171" t="s">
        <v>1595</v>
      </c>
      <c r="C242" s="171" t="s">
        <v>1595</v>
      </c>
      <c r="D242" s="171" t="s">
        <v>1251</v>
      </c>
      <c r="E242" s="171" t="s">
        <v>668</v>
      </c>
      <c r="F242" s="171" t="s">
        <v>669</v>
      </c>
      <c r="G242" s="171" t="s">
        <v>670</v>
      </c>
      <c r="H242" s="195">
        <v>3.4037000000000002</v>
      </c>
      <c r="I242" s="171" t="s">
        <v>671</v>
      </c>
      <c r="J242" s="57">
        <v>1</v>
      </c>
      <c r="K242" s="172">
        <v>2021</v>
      </c>
      <c r="L242" s="173" t="s">
        <v>1596</v>
      </c>
      <c r="M242" s="173" t="s">
        <v>1485</v>
      </c>
      <c r="N242" s="174" t="s">
        <v>884</v>
      </c>
      <c r="O242" s="171" t="s">
        <v>2562</v>
      </c>
      <c r="P242" s="171" t="s">
        <v>675</v>
      </c>
      <c r="Q242" s="209">
        <v>1981</v>
      </c>
      <c r="R242" s="171">
        <v>6</v>
      </c>
      <c r="S242" s="171"/>
      <c r="T242" s="173"/>
      <c r="U242" s="171"/>
      <c r="V242" s="171"/>
      <c r="W242" s="171"/>
      <c r="X242" s="57">
        <v>0</v>
      </c>
      <c r="Y242" s="172">
        <v>2</v>
      </c>
      <c r="Z242" s="175" t="s">
        <v>1256</v>
      </c>
      <c r="AA242" s="176">
        <v>2021</v>
      </c>
      <c r="AB242" s="176">
        <v>8</v>
      </c>
      <c r="AC242" s="176">
        <v>6</v>
      </c>
      <c r="AD242" s="177" t="b">
        <f>IF(ISBLANK(GroupMember[[#This Row],[1. Identifiant interne d’exploitation agricole*]]),"",IF(ISERROR(MATCH(GroupMember[[#This Row],[1. Identifiant interne d’exploitation agricole*]],CertifiedCrop[1. Identifiant interne d’exploitation agricole*],0)),FALSE,TRUE))</f>
        <v>1</v>
      </c>
      <c r="AE242" s="177" t="b">
        <f>IF(ISBLANK(GroupMember[[#This Row],[1. Identifiant interne d’exploitation agricole*]]),"",IF(ISERROR(MATCH(GroupMember[[#This Row],[1. Identifiant interne d’exploitation agricole*]],FarmUnit[1. Identifiant interne d’exploitation agricole*],0)),FALSE,TRUE))</f>
        <v>1</v>
      </c>
      <c r="AF242" s="178" t="str">
        <f t="shared" si="12"/>
        <v>KOUAME  DOMINIQUE</v>
      </c>
      <c r="AG242" s="179" t="str">
        <f t="shared" si="13"/>
        <v>6/8/2021</v>
      </c>
      <c r="AH242" s="180">
        <f t="shared" si="15"/>
        <v>5</v>
      </c>
      <c r="AI242" s="181">
        <f t="shared" si="14"/>
        <v>0.16666666666666666</v>
      </c>
    </row>
    <row r="243" spans="1:35" ht="15">
      <c r="A243" s="170" t="s">
        <v>1597</v>
      </c>
      <c r="B243" s="171" t="s">
        <v>1597</v>
      </c>
      <c r="C243" s="171" t="s">
        <v>1597</v>
      </c>
      <c r="D243" s="171" t="s">
        <v>1251</v>
      </c>
      <c r="E243" s="171" t="s">
        <v>668</v>
      </c>
      <c r="F243" s="171" t="s">
        <v>669</v>
      </c>
      <c r="G243" s="171" t="s">
        <v>670</v>
      </c>
      <c r="H243" s="195">
        <v>4.0255999999999998</v>
      </c>
      <c r="I243" s="171" t="s">
        <v>671</v>
      </c>
      <c r="J243" s="57">
        <v>1</v>
      </c>
      <c r="K243" s="172">
        <v>2021</v>
      </c>
      <c r="L243" s="173" t="s">
        <v>1598</v>
      </c>
      <c r="M243" s="173" t="s">
        <v>1337</v>
      </c>
      <c r="N243" s="174" t="s">
        <v>1599</v>
      </c>
      <c r="O243" s="171" t="s">
        <v>1600</v>
      </c>
      <c r="P243" s="171" t="s">
        <v>675</v>
      </c>
      <c r="Q243" s="209">
        <v>1972</v>
      </c>
      <c r="R243" s="171">
        <v>9</v>
      </c>
      <c r="S243" s="171"/>
      <c r="T243" s="173"/>
      <c r="U243" s="171"/>
      <c r="V243" s="171"/>
      <c r="W243" s="171"/>
      <c r="X243" s="57">
        <v>0</v>
      </c>
      <c r="Y243" s="172">
        <v>2</v>
      </c>
      <c r="Z243" s="175" t="s">
        <v>1256</v>
      </c>
      <c r="AA243" s="176">
        <v>2021</v>
      </c>
      <c r="AB243" s="176">
        <v>7</v>
      </c>
      <c r="AC243" s="176">
        <v>27</v>
      </c>
      <c r="AD243" s="177" t="b">
        <f>IF(ISBLANK(GroupMember[[#This Row],[1. Identifiant interne d’exploitation agricole*]]),"",IF(ISERROR(MATCH(GroupMember[[#This Row],[1. Identifiant interne d’exploitation agricole*]],CertifiedCrop[1. Identifiant interne d’exploitation agricole*],0)),FALSE,TRUE))</f>
        <v>1</v>
      </c>
      <c r="AE243" s="177" t="b">
        <f>IF(ISBLANK(GroupMember[[#This Row],[1. Identifiant interne d’exploitation agricole*]]),"",IF(ISERROR(MATCH(GroupMember[[#This Row],[1. Identifiant interne d’exploitation agricole*]],FarmUnit[1. Identifiant interne d’exploitation agricole*],0)),FALSE,TRUE))</f>
        <v>1</v>
      </c>
      <c r="AF243" s="178" t="str">
        <f t="shared" ref="AF243:AF306" si="16">IFERROR(CONCATENATE(L243," ",M243),"")</f>
        <v>GOH  TIEMOKO</v>
      </c>
      <c r="AG243" s="179" t="str">
        <f t="shared" ref="AG243:AG306" si="17">CONCATENATE(AC243,"/",AB243,"/",AA243)</f>
        <v>27/7/2021</v>
      </c>
      <c r="AH243" s="180">
        <f t="shared" si="15"/>
        <v>6</v>
      </c>
      <c r="AI243" s="181">
        <f t="shared" ref="AI243:AI306" si="18">IF((X243+Y243/12)&lt;0,"",(X243+Y243/12))</f>
        <v>0.16666666666666666</v>
      </c>
    </row>
    <row r="244" spans="1:35" ht="15">
      <c r="A244" s="170" t="s">
        <v>1601</v>
      </c>
      <c r="B244" s="171" t="s">
        <v>1601</v>
      </c>
      <c r="C244" s="171" t="s">
        <v>1601</v>
      </c>
      <c r="D244" s="171" t="s">
        <v>1251</v>
      </c>
      <c r="E244" s="171" t="s">
        <v>668</v>
      </c>
      <c r="F244" s="171" t="s">
        <v>669</v>
      </c>
      <c r="G244" s="171" t="s">
        <v>670</v>
      </c>
      <c r="H244" s="195">
        <v>2.9868999999999999</v>
      </c>
      <c r="I244" s="171" t="s">
        <v>671</v>
      </c>
      <c r="J244" s="57">
        <v>1</v>
      </c>
      <c r="K244" s="172">
        <v>2021</v>
      </c>
      <c r="L244" s="173" t="s">
        <v>1598</v>
      </c>
      <c r="M244" s="173" t="s">
        <v>987</v>
      </c>
      <c r="N244" s="174" t="s">
        <v>1602</v>
      </c>
      <c r="O244" s="171" t="s">
        <v>1603</v>
      </c>
      <c r="P244" s="171" t="s">
        <v>675</v>
      </c>
      <c r="Q244" s="209">
        <v>1979</v>
      </c>
      <c r="R244" s="171">
        <v>7</v>
      </c>
      <c r="S244" s="171"/>
      <c r="T244" s="173"/>
      <c r="U244" s="171"/>
      <c r="V244" s="171"/>
      <c r="W244" s="171"/>
      <c r="X244" s="57">
        <v>0</v>
      </c>
      <c r="Y244" s="172">
        <v>2</v>
      </c>
      <c r="Z244" s="175" t="s">
        <v>1256</v>
      </c>
      <c r="AA244" s="176">
        <v>2021</v>
      </c>
      <c r="AB244" s="176">
        <v>7</v>
      </c>
      <c r="AC244" s="176">
        <v>30</v>
      </c>
      <c r="AD244" s="177" t="b">
        <f>IF(ISBLANK(GroupMember[[#This Row],[1. Identifiant interne d’exploitation agricole*]]),"",IF(ISERROR(MATCH(GroupMember[[#This Row],[1. Identifiant interne d’exploitation agricole*]],CertifiedCrop[1. Identifiant interne d’exploitation agricole*],0)),FALSE,TRUE))</f>
        <v>1</v>
      </c>
      <c r="AE244" s="177" t="b">
        <f>IF(ISBLANK(GroupMember[[#This Row],[1. Identifiant interne d’exploitation agricole*]]),"",IF(ISERROR(MATCH(GroupMember[[#This Row],[1. Identifiant interne d’exploitation agricole*]],FarmUnit[1. Identifiant interne d’exploitation agricole*],0)),FALSE,TRUE))</f>
        <v>1</v>
      </c>
      <c r="AF244" s="178" t="str">
        <f t="shared" si="16"/>
        <v>GOH  AUGUSTIN</v>
      </c>
      <c r="AG244" s="179" t="str">
        <f t="shared" si="17"/>
        <v>30/7/2021</v>
      </c>
      <c r="AH244" s="180">
        <f t="shared" si="15"/>
        <v>4</v>
      </c>
      <c r="AI244" s="181">
        <f t="shared" si="18"/>
        <v>0.16666666666666666</v>
      </c>
    </row>
    <row r="245" spans="1:35" ht="15">
      <c r="A245" s="170" t="s">
        <v>1604</v>
      </c>
      <c r="B245" s="171" t="s">
        <v>1604</v>
      </c>
      <c r="C245" s="171" t="s">
        <v>1604</v>
      </c>
      <c r="D245" s="171" t="s">
        <v>1251</v>
      </c>
      <c r="E245" s="171" t="s">
        <v>668</v>
      </c>
      <c r="F245" s="171" t="s">
        <v>669</v>
      </c>
      <c r="G245" s="171" t="s">
        <v>670</v>
      </c>
      <c r="H245" s="195">
        <v>3.3353000000000002</v>
      </c>
      <c r="I245" s="171" t="s">
        <v>671</v>
      </c>
      <c r="J245" s="57">
        <v>1</v>
      </c>
      <c r="K245" s="172">
        <v>2021</v>
      </c>
      <c r="L245" s="173" t="s">
        <v>1605</v>
      </c>
      <c r="M245" s="173" t="s">
        <v>1585</v>
      </c>
      <c r="N245" s="174" t="s">
        <v>1602</v>
      </c>
      <c r="O245" s="171" t="s">
        <v>1606</v>
      </c>
      <c r="P245" s="171" t="s">
        <v>675</v>
      </c>
      <c r="Q245" s="209">
        <v>1985</v>
      </c>
      <c r="R245" s="171">
        <v>6</v>
      </c>
      <c r="S245" s="171"/>
      <c r="T245" s="173"/>
      <c r="U245" s="171"/>
      <c r="V245" s="171"/>
      <c r="W245" s="171"/>
      <c r="X245" s="57">
        <v>0</v>
      </c>
      <c r="Y245" s="172">
        <v>2</v>
      </c>
      <c r="Z245" s="175" t="s">
        <v>1256</v>
      </c>
      <c r="AA245" s="176">
        <v>2021</v>
      </c>
      <c r="AB245" s="176">
        <v>8</v>
      </c>
      <c r="AC245" s="176">
        <v>12</v>
      </c>
      <c r="AD245" s="177" t="b">
        <f>IF(ISBLANK(GroupMember[[#This Row],[1. Identifiant interne d’exploitation agricole*]]),"",IF(ISERROR(MATCH(GroupMember[[#This Row],[1. Identifiant interne d’exploitation agricole*]],CertifiedCrop[1. Identifiant interne d’exploitation agricole*],0)),FALSE,TRUE))</f>
        <v>1</v>
      </c>
      <c r="AE245" s="177" t="b">
        <f>IF(ISBLANK(GroupMember[[#This Row],[1. Identifiant interne d’exploitation agricole*]]),"",IF(ISERROR(MATCH(GroupMember[[#This Row],[1. Identifiant interne d’exploitation agricole*]],FarmUnit[1. Identifiant interne d’exploitation agricole*],0)),FALSE,TRUE))</f>
        <v>1</v>
      </c>
      <c r="AF245" s="178" t="str">
        <f t="shared" si="16"/>
        <v>VATOU SIMPLICE</v>
      </c>
      <c r="AG245" s="179" t="str">
        <f t="shared" si="17"/>
        <v>12/8/2021</v>
      </c>
      <c r="AH245" s="180">
        <f t="shared" si="15"/>
        <v>5</v>
      </c>
      <c r="AI245" s="181">
        <f t="shared" si="18"/>
        <v>0.16666666666666666</v>
      </c>
    </row>
    <row r="246" spans="1:35" ht="15">
      <c r="A246" s="170" t="s">
        <v>1607</v>
      </c>
      <c r="B246" s="171" t="s">
        <v>1607</v>
      </c>
      <c r="C246" s="171" t="s">
        <v>1607</v>
      </c>
      <c r="D246" s="171" t="s">
        <v>1251</v>
      </c>
      <c r="E246" s="171" t="s">
        <v>668</v>
      </c>
      <c r="F246" s="171" t="s">
        <v>669</v>
      </c>
      <c r="G246" s="171" t="s">
        <v>670</v>
      </c>
      <c r="H246" s="195">
        <v>2.6932</v>
      </c>
      <c r="I246" s="171" t="s">
        <v>671</v>
      </c>
      <c r="J246" s="57">
        <v>1</v>
      </c>
      <c r="K246" s="172">
        <v>2021</v>
      </c>
      <c r="L246" s="173" t="s">
        <v>1337</v>
      </c>
      <c r="M246" s="173" t="s">
        <v>1608</v>
      </c>
      <c r="N246" s="174" t="s">
        <v>1609</v>
      </c>
      <c r="O246" s="171" t="s">
        <v>1610</v>
      </c>
      <c r="P246" s="171" t="s">
        <v>720</v>
      </c>
      <c r="Q246" s="209">
        <v>1986</v>
      </c>
      <c r="R246" s="171">
        <v>1</v>
      </c>
      <c r="S246" s="171"/>
      <c r="T246" s="173"/>
      <c r="U246" s="171"/>
      <c r="V246" s="171"/>
      <c r="W246" s="171"/>
      <c r="X246" s="57">
        <v>0</v>
      </c>
      <c r="Y246" s="172">
        <v>2</v>
      </c>
      <c r="Z246" s="175" t="s">
        <v>1256</v>
      </c>
      <c r="AA246" s="176">
        <v>2021</v>
      </c>
      <c r="AB246" s="176">
        <v>8</v>
      </c>
      <c r="AC246" s="176">
        <v>3</v>
      </c>
      <c r="AD246" s="177" t="b">
        <f>IF(ISBLANK(GroupMember[[#This Row],[1. Identifiant interne d’exploitation agricole*]]),"",IF(ISERROR(MATCH(GroupMember[[#This Row],[1. Identifiant interne d’exploitation agricole*]],CertifiedCrop[1. Identifiant interne d’exploitation agricole*],0)),FALSE,TRUE))</f>
        <v>1</v>
      </c>
      <c r="AE246" s="177" t="b">
        <f>IF(ISBLANK(GroupMember[[#This Row],[1. Identifiant interne d’exploitation agricole*]]),"",IF(ISERROR(MATCH(GroupMember[[#This Row],[1. Identifiant interne d’exploitation agricole*]],FarmUnit[1. Identifiant interne d’exploitation agricole*],0)),FALSE,TRUE))</f>
        <v>1</v>
      </c>
      <c r="AF246" s="178" t="str">
        <f t="shared" si="16"/>
        <v>TIEMOKO CHIMENE</v>
      </c>
      <c r="AG246" s="179" t="str">
        <f t="shared" si="17"/>
        <v>3/8/2021</v>
      </c>
      <c r="AH246" s="180">
        <f t="shared" si="15"/>
        <v>5</v>
      </c>
      <c r="AI246" s="181">
        <f t="shared" si="18"/>
        <v>0.16666666666666666</v>
      </c>
    </row>
    <row r="247" spans="1:35" ht="15">
      <c r="A247" s="170" t="s">
        <v>1611</v>
      </c>
      <c r="B247" s="171" t="s">
        <v>1611</v>
      </c>
      <c r="C247" s="171" t="s">
        <v>1611</v>
      </c>
      <c r="D247" s="171" t="s">
        <v>1251</v>
      </c>
      <c r="E247" s="171" t="s">
        <v>668</v>
      </c>
      <c r="F247" s="171" t="s">
        <v>669</v>
      </c>
      <c r="G247" s="171" t="s">
        <v>670</v>
      </c>
      <c r="H247" s="195">
        <v>2.1197999999999997</v>
      </c>
      <c r="I247" s="171" t="s">
        <v>671</v>
      </c>
      <c r="J247" s="57">
        <v>1</v>
      </c>
      <c r="K247" s="172">
        <v>2021</v>
      </c>
      <c r="L247" s="173" t="s">
        <v>1612</v>
      </c>
      <c r="M247" s="173" t="s">
        <v>756</v>
      </c>
      <c r="N247" s="174" t="s">
        <v>1613</v>
      </c>
      <c r="O247" s="171" t="s">
        <v>2563</v>
      </c>
      <c r="P247" s="171" t="s">
        <v>675</v>
      </c>
      <c r="Q247" s="209">
        <v>1971</v>
      </c>
      <c r="R247" s="171">
        <v>10</v>
      </c>
      <c r="S247" s="171"/>
      <c r="T247" s="173"/>
      <c r="U247" s="171"/>
      <c r="V247" s="171"/>
      <c r="W247" s="171"/>
      <c r="X247" s="57">
        <v>0</v>
      </c>
      <c r="Y247" s="172">
        <v>2</v>
      </c>
      <c r="Z247" s="175" t="s">
        <v>1256</v>
      </c>
      <c r="AA247" s="176">
        <v>2021</v>
      </c>
      <c r="AB247" s="176">
        <v>8</v>
      </c>
      <c r="AC247" s="176">
        <v>19</v>
      </c>
      <c r="AD247" s="177" t="b">
        <f>IF(ISBLANK(GroupMember[[#This Row],[1. Identifiant interne d’exploitation agricole*]]),"",IF(ISERROR(MATCH(GroupMember[[#This Row],[1. Identifiant interne d’exploitation agricole*]],CertifiedCrop[1. Identifiant interne d’exploitation agricole*],0)),FALSE,TRUE))</f>
        <v>1</v>
      </c>
      <c r="AE247" s="177" t="b">
        <f>IF(ISBLANK(GroupMember[[#This Row],[1. Identifiant interne d’exploitation agricole*]]),"",IF(ISERROR(MATCH(GroupMember[[#This Row],[1. Identifiant interne d’exploitation agricole*]],FarmUnit[1. Identifiant interne d’exploitation agricole*],0)),FALSE,TRUE))</f>
        <v>1</v>
      </c>
      <c r="AF247" s="178" t="str">
        <f t="shared" si="16"/>
        <v>OULAI GUEU GILBERT</v>
      </c>
      <c r="AG247" s="179" t="str">
        <f t="shared" si="17"/>
        <v>19/8/2021</v>
      </c>
      <c r="AH247" s="180">
        <f t="shared" si="15"/>
        <v>5</v>
      </c>
      <c r="AI247" s="181">
        <f t="shared" si="18"/>
        <v>0.16666666666666666</v>
      </c>
    </row>
    <row r="248" spans="1:35" ht="15">
      <c r="A248" s="170" t="s">
        <v>1614</v>
      </c>
      <c r="B248" s="171" t="s">
        <v>1614</v>
      </c>
      <c r="C248" s="171" t="s">
        <v>1614</v>
      </c>
      <c r="D248" s="171" t="s">
        <v>1251</v>
      </c>
      <c r="E248" s="171" t="s">
        <v>668</v>
      </c>
      <c r="F248" s="171" t="s">
        <v>669</v>
      </c>
      <c r="G248" s="171" t="s">
        <v>670</v>
      </c>
      <c r="H248" s="195">
        <v>1.9074</v>
      </c>
      <c r="I248" s="171" t="s">
        <v>671</v>
      </c>
      <c r="J248" s="57">
        <v>1</v>
      </c>
      <c r="K248" s="172">
        <v>2021</v>
      </c>
      <c r="L248" s="173" t="s">
        <v>1615</v>
      </c>
      <c r="M248" s="173" t="s">
        <v>1616</v>
      </c>
      <c r="N248" s="174" t="s">
        <v>1617</v>
      </c>
      <c r="O248" s="171" t="s">
        <v>1618</v>
      </c>
      <c r="P248" s="171" t="s">
        <v>675</v>
      </c>
      <c r="Q248" s="209">
        <v>1960</v>
      </c>
      <c r="R248" s="171">
        <v>6</v>
      </c>
      <c r="S248" s="171"/>
      <c r="T248" s="173"/>
      <c r="U248" s="171"/>
      <c r="V248" s="171"/>
      <c r="W248" s="171"/>
      <c r="X248" s="57">
        <v>0</v>
      </c>
      <c r="Y248" s="172">
        <v>2</v>
      </c>
      <c r="Z248" s="175" t="s">
        <v>1256</v>
      </c>
      <c r="AA248" s="176">
        <v>2021</v>
      </c>
      <c r="AB248" s="176">
        <v>7</v>
      </c>
      <c r="AC248" s="176">
        <v>27</v>
      </c>
      <c r="AD248" s="177" t="b">
        <f>IF(ISBLANK(GroupMember[[#This Row],[1. Identifiant interne d’exploitation agricole*]]),"",IF(ISERROR(MATCH(GroupMember[[#This Row],[1. Identifiant interne d’exploitation agricole*]],CertifiedCrop[1. Identifiant interne d’exploitation agricole*],0)),FALSE,TRUE))</f>
        <v>1</v>
      </c>
      <c r="AE248" s="177" t="b">
        <f>IF(ISBLANK(GroupMember[[#This Row],[1. Identifiant interne d’exploitation agricole*]]),"",IF(ISERROR(MATCH(GroupMember[[#This Row],[1. Identifiant interne d’exploitation agricole*]],FarmUnit[1. Identifiant interne d’exploitation agricole*],0)),FALSE,TRUE))</f>
        <v>1</v>
      </c>
      <c r="AF248" s="178" t="str">
        <f t="shared" si="16"/>
        <v>OULAI GONDO CELESTIN</v>
      </c>
      <c r="AG248" s="179" t="str">
        <f t="shared" si="17"/>
        <v>27/7/2021</v>
      </c>
      <c r="AH248" s="180">
        <f t="shared" si="15"/>
        <v>6</v>
      </c>
      <c r="AI248" s="181">
        <f t="shared" si="18"/>
        <v>0.16666666666666666</v>
      </c>
    </row>
    <row r="249" spans="1:35" ht="15">
      <c r="A249" s="170" t="s">
        <v>1619</v>
      </c>
      <c r="B249" s="171" t="s">
        <v>1619</v>
      </c>
      <c r="C249" s="171" t="s">
        <v>1619</v>
      </c>
      <c r="D249" s="171" t="s">
        <v>1251</v>
      </c>
      <c r="E249" s="171" t="s">
        <v>668</v>
      </c>
      <c r="F249" s="171" t="s">
        <v>669</v>
      </c>
      <c r="G249" s="171" t="s">
        <v>670</v>
      </c>
      <c r="H249" s="195">
        <v>5.6650999999999998</v>
      </c>
      <c r="I249" s="171" t="s">
        <v>671</v>
      </c>
      <c r="J249" s="57">
        <v>1</v>
      </c>
      <c r="K249" s="172">
        <v>2021</v>
      </c>
      <c r="L249" s="173" t="s">
        <v>1620</v>
      </c>
      <c r="M249" s="173" t="s">
        <v>1621</v>
      </c>
      <c r="N249" s="174" t="s">
        <v>1622</v>
      </c>
      <c r="O249" s="171" t="s">
        <v>2564</v>
      </c>
      <c r="P249" s="171" t="s">
        <v>675</v>
      </c>
      <c r="Q249" s="209">
        <v>1976</v>
      </c>
      <c r="R249" s="171">
        <v>3</v>
      </c>
      <c r="S249" s="171"/>
      <c r="T249" s="173"/>
      <c r="U249" s="171"/>
      <c r="V249" s="171"/>
      <c r="W249" s="171"/>
      <c r="X249" s="57">
        <v>0</v>
      </c>
      <c r="Y249" s="172">
        <v>2</v>
      </c>
      <c r="Z249" s="175" t="s">
        <v>1256</v>
      </c>
      <c r="AA249" s="176">
        <v>2021</v>
      </c>
      <c r="AB249" s="176">
        <v>8</v>
      </c>
      <c r="AC249" s="176">
        <v>26</v>
      </c>
      <c r="AD249" s="177" t="b">
        <f>IF(ISBLANK(GroupMember[[#This Row],[1. Identifiant interne d’exploitation agricole*]]),"",IF(ISERROR(MATCH(GroupMember[[#This Row],[1. Identifiant interne d’exploitation agricole*]],CertifiedCrop[1. Identifiant interne d’exploitation agricole*],0)),FALSE,TRUE))</f>
        <v>1</v>
      </c>
      <c r="AE249" s="177" t="b">
        <f>IF(ISBLANK(GroupMember[[#This Row],[1. Identifiant interne d’exploitation agricole*]]),"",IF(ISERROR(MATCH(GroupMember[[#This Row],[1. Identifiant interne d’exploitation agricole*]],FarmUnit[1. Identifiant interne d’exploitation agricole*],0)),FALSE,TRUE))</f>
        <v>1</v>
      </c>
      <c r="AF249" s="178" t="str">
        <f t="shared" si="16"/>
        <v>GUEI MARTIN</v>
      </c>
      <c r="AG249" s="179" t="str">
        <f t="shared" si="17"/>
        <v>26/8/2021</v>
      </c>
      <c r="AH249" s="180">
        <f t="shared" si="15"/>
        <v>4</v>
      </c>
      <c r="AI249" s="181">
        <f t="shared" si="18"/>
        <v>0.16666666666666666</v>
      </c>
    </row>
    <row r="250" spans="1:35" ht="15">
      <c r="A250" s="170" t="s">
        <v>1623</v>
      </c>
      <c r="B250" s="171" t="s">
        <v>1623</v>
      </c>
      <c r="C250" s="171" t="s">
        <v>1623</v>
      </c>
      <c r="D250" s="171" t="s">
        <v>1251</v>
      </c>
      <c r="E250" s="171" t="s">
        <v>668</v>
      </c>
      <c r="F250" s="171" t="s">
        <v>669</v>
      </c>
      <c r="G250" s="171" t="s">
        <v>670</v>
      </c>
      <c r="H250" s="195">
        <v>2</v>
      </c>
      <c r="I250" s="171" t="s">
        <v>671</v>
      </c>
      <c r="J250" s="57">
        <v>1</v>
      </c>
      <c r="K250" s="172">
        <v>2021</v>
      </c>
      <c r="L250" s="173" t="s">
        <v>1337</v>
      </c>
      <c r="M250" s="173" t="s">
        <v>1624</v>
      </c>
      <c r="N250" s="174" t="s">
        <v>1625</v>
      </c>
      <c r="O250" s="171" t="s">
        <v>1626</v>
      </c>
      <c r="P250" s="171" t="s">
        <v>675</v>
      </c>
      <c r="Q250" s="209">
        <v>1966</v>
      </c>
      <c r="R250" s="171">
        <v>7</v>
      </c>
      <c r="S250" s="171"/>
      <c r="T250" s="173"/>
      <c r="U250" s="171"/>
      <c r="V250" s="171"/>
      <c r="W250" s="171"/>
      <c r="X250" s="57">
        <v>0</v>
      </c>
      <c r="Y250" s="172">
        <v>2</v>
      </c>
      <c r="Z250" s="175" t="s">
        <v>1256</v>
      </c>
      <c r="AA250" s="176">
        <v>2021</v>
      </c>
      <c r="AB250" s="176">
        <v>8</v>
      </c>
      <c r="AC250" s="176">
        <v>24</v>
      </c>
      <c r="AD250" s="177" t="b">
        <f>IF(ISBLANK(GroupMember[[#This Row],[1. Identifiant interne d’exploitation agricole*]]),"",IF(ISERROR(MATCH(GroupMember[[#This Row],[1. Identifiant interne d’exploitation agricole*]],CertifiedCrop[1. Identifiant interne d’exploitation agricole*],0)),FALSE,TRUE))</f>
        <v>1</v>
      </c>
      <c r="AE250" s="177" t="b">
        <f>IF(ISBLANK(GroupMember[[#This Row],[1. Identifiant interne d’exploitation agricole*]]),"",IF(ISERROR(MATCH(GroupMember[[#This Row],[1. Identifiant interne d’exploitation agricole*]],FarmUnit[1. Identifiant interne d’exploitation agricole*],0)),FALSE,TRUE))</f>
        <v>1</v>
      </c>
      <c r="AF250" s="178" t="str">
        <f t="shared" si="16"/>
        <v>TIEMOKO JEAN</v>
      </c>
      <c r="AG250" s="179" t="str">
        <f t="shared" si="17"/>
        <v>24/8/2021</v>
      </c>
      <c r="AH250" s="180">
        <f t="shared" si="15"/>
        <v>6</v>
      </c>
      <c r="AI250" s="181">
        <f t="shared" si="18"/>
        <v>0.16666666666666666</v>
      </c>
    </row>
    <row r="251" spans="1:35" ht="15">
      <c r="A251" s="170" t="s">
        <v>1627</v>
      </c>
      <c r="B251" s="171" t="s">
        <v>1627</v>
      </c>
      <c r="C251" s="171" t="s">
        <v>1627</v>
      </c>
      <c r="D251" s="171" t="s">
        <v>1251</v>
      </c>
      <c r="E251" s="171" t="s">
        <v>668</v>
      </c>
      <c r="F251" s="171" t="s">
        <v>669</v>
      </c>
      <c r="G251" s="171" t="s">
        <v>670</v>
      </c>
      <c r="H251" s="195">
        <v>2.0594000000000001</v>
      </c>
      <c r="I251" s="171" t="s">
        <v>671</v>
      </c>
      <c r="J251" s="57">
        <v>1</v>
      </c>
      <c r="K251" s="172">
        <v>2021</v>
      </c>
      <c r="L251" s="173" t="s">
        <v>1628</v>
      </c>
      <c r="M251" s="173" t="s">
        <v>1629</v>
      </c>
      <c r="N251" s="174" t="s">
        <v>1630</v>
      </c>
      <c r="O251" s="171" t="s">
        <v>2565</v>
      </c>
      <c r="P251" s="171" t="s">
        <v>720</v>
      </c>
      <c r="Q251" s="209">
        <v>1965</v>
      </c>
      <c r="R251" s="171">
        <v>4</v>
      </c>
      <c r="S251" s="171"/>
      <c r="T251" s="173"/>
      <c r="U251" s="171"/>
      <c r="V251" s="171"/>
      <c r="W251" s="171"/>
      <c r="X251" s="57">
        <v>0</v>
      </c>
      <c r="Y251" s="172">
        <v>2</v>
      </c>
      <c r="Z251" s="175" t="s">
        <v>1256</v>
      </c>
      <c r="AA251" s="176">
        <v>2021</v>
      </c>
      <c r="AB251" s="176">
        <v>7</v>
      </c>
      <c r="AC251" s="176">
        <v>30</v>
      </c>
      <c r="AD251" s="177" t="b">
        <f>IF(ISBLANK(GroupMember[[#This Row],[1. Identifiant interne d’exploitation agricole*]]),"",IF(ISERROR(MATCH(GroupMember[[#This Row],[1. Identifiant interne d’exploitation agricole*]],CertifiedCrop[1. Identifiant interne d’exploitation agricole*],0)),FALSE,TRUE))</f>
        <v>1</v>
      </c>
      <c r="AE251" s="177" t="b">
        <f>IF(ISBLANK(GroupMember[[#This Row],[1. Identifiant interne d’exploitation agricole*]]),"",IF(ISERROR(MATCH(GroupMember[[#This Row],[1. Identifiant interne d’exploitation agricole*]],FarmUnit[1. Identifiant interne d’exploitation agricole*],0)),FALSE,TRUE))</f>
        <v>1</v>
      </c>
      <c r="AF251" s="178" t="str">
        <f t="shared" si="16"/>
        <v>GRO MARIE</v>
      </c>
      <c r="AG251" s="179" t="str">
        <f t="shared" si="17"/>
        <v>30/7/2021</v>
      </c>
      <c r="AH251" s="180">
        <f t="shared" si="15"/>
        <v>4</v>
      </c>
      <c r="AI251" s="181">
        <f t="shared" si="18"/>
        <v>0.16666666666666666</v>
      </c>
    </row>
    <row r="252" spans="1:35" ht="15">
      <c r="A252" s="170" t="s">
        <v>1631</v>
      </c>
      <c r="B252" s="171" t="s">
        <v>1631</v>
      </c>
      <c r="C252" s="171" t="s">
        <v>1631</v>
      </c>
      <c r="D252" s="171" t="s">
        <v>1251</v>
      </c>
      <c r="E252" s="171" t="s">
        <v>668</v>
      </c>
      <c r="F252" s="171" t="s">
        <v>669</v>
      </c>
      <c r="G252" s="171" t="s">
        <v>670</v>
      </c>
      <c r="H252" s="195">
        <v>4.8621999999999996</v>
      </c>
      <c r="I252" s="171" t="s">
        <v>671</v>
      </c>
      <c r="J252" s="57">
        <v>1</v>
      </c>
      <c r="K252" s="172">
        <v>2021</v>
      </c>
      <c r="L252" s="173" t="s">
        <v>1632</v>
      </c>
      <c r="M252" s="173" t="s">
        <v>1585</v>
      </c>
      <c r="N252" s="174" t="s">
        <v>1630</v>
      </c>
      <c r="O252" s="171" t="s">
        <v>1633</v>
      </c>
      <c r="P252" s="171" t="s">
        <v>675</v>
      </c>
      <c r="Q252" s="209">
        <v>1970</v>
      </c>
      <c r="R252" s="171">
        <v>10</v>
      </c>
      <c r="S252" s="171"/>
      <c r="T252" s="173"/>
      <c r="U252" s="171"/>
      <c r="V252" s="171"/>
      <c r="W252" s="171"/>
      <c r="X252" s="57">
        <v>0</v>
      </c>
      <c r="Y252" s="172">
        <v>2</v>
      </c>
      <c r="Z252" s="175" t="s">
        <v>1256</v>
      </c>
      <c r="AA252" s="176">
        <v>2021</v>
      </c>
      <c r="AB252" s="176">
        <v>8</v>
      </c>
      <c r="AC252" s="176">
        <v>6</v>
      </c>
      <c r="AD252" s="177" t="b">
        <f>IF(ISBLANK(GroupMember[[#This Row],[1. Identifiant interne d’exploitation agricole*]]),"",IF(ISERROR(MATCH(GroupMember[[#This Row],[1. Identifiant interne d’exploitation agricole*]],CertifiedCrop[1. Identifiant interne d’exploitation agricole*],0)),FALSE,TRUE))</f>
        <v>1</v>
      </c>
      <c r="AE252" s="177" t="b">
        <f>IF(ISBLANK(GroupMember[[#This Row],[1. Identifiant interne d’exploitation agricole*]]),"",IF(ISERROR(MATCH(GroupMember[[#This Row],[1. Identifiant interne d’exploitation agricole*]],FarmUnit[1. Identifiant interne d’exploitation agricole*],0)),FALSE,TRUE))</f>
        <v>1</v>
      </c>
      <c r="AF252" s="178" t="str">
        <f t="shared" si="16"/>
        <v>MAN MABLE SIMPLICE</v>
      </c>
      <c r="AG252" s="179" t="str">
        <f t="shared" si="17"/>
        <v>6/8/2021</v>
      </c>
      <c r="AH252" s="180">
        <f t="shared" si="15"/>
        <v>5</v>
      </c>
      <c r="AI252" s="181">
        <f t="shared" si="18"/>
        <v>0.16666666666666666</v>
      </c>
    </row>
    <row r="253" spans="1:35" ht="15">
      <c r="A253" s="170" t="s">
        <v>1634</v>
      </c>
      <c r="B253" s="171" t="s">
        <v>1634</v>
      </c>
      <c r="C253" s="171" t="s">
        <v>1634</v>
      </c>
      <c r="D253" s="171" t="s">
        <v>1251</v>
      </c>
      <c r="E253" s="171" t="s">
        <v>668</v>
      </c>
      <c r="F253" s="171" t="s">
        <v>669</v>
      </c>
      <c r="G253" s="171" t="s">
        <v>670</v>
      </c>
      <c r="H253" s="195">
        <v>1.802</v>
      </c>
      <c r="I253" s="171" t="s">
        <v>671</v>
      </c>
      <c r="J253" s="57">
        <v>1</v>
      </c>
      <c r="K253" s="172">
        <v>2021</v>
      </c>
      <c r="L253" s="173" t="s">
        <v>1635</v>
      </c>
      <c r="M253" s="173" t="s">
        <v>1028</v>
      </c>
      <c r="N253" s="174" t="s">
        <v>1636</v>
      </c>
      <c r="O253" s="171" t="s">
        <v>1637</v>
      </c>
      <c r="P253" s="171" t="s">
        <v>675</v>
      </c>
      <c r="Q253" s="209">
        <v>1974</v>
      </c>
      <c r="R253" s="171">
        <v>11</v>
      </c>
      <c r="S253" s="171"/>
      <c r="T253" s="173"/>
      <c r="U253" s="171"/>
      <c r="V253" s="171"/>
      <c r="W253" s="171"/>
      <c r="X253" s="57">
        <v>0</v>
      </c>
      <c r="Y253" s="172">
        <v>2</v>
      </c>
      <c r="Z253" s="175" t="s">
        <v>1256</v>
      </c>
      <c r="AA253" s="176">
        <v>2021</v>
      </c>
      <c r="AB253" s="176">
        <v>7</v>
      </c>
      <c r="AC253" s="176">
        <v>26</v>
      </c>
      <c r="AD253" s="177" t="b">
        <f>IF(ISBLANK(GroupMember[[#This Row],[1. Identifiant interne d’exploitation agricole*]]),"",IF(ISERROR(MATCH(GroupMember[[#This Row],[1. Identifiant interne d’exploitation agricole*]],CertifiedCrop[1. Identifiant interne d’exploitation agricole*],0)),FALSE,TRUE))</f>
        <v>1</v>
      </c>
      <c r="AE253" s="177" t="b">
        <f>IF(ISBLANK(GroupMember[[#This Row],[1. Identifiant interne d’exploitation agricole*]]),"",IF(ISERROR(MATCH(GroupMember[[#This Row],[1. Identifiant interne d’exploitation agricole*]],FarmUnit[1. Identifiant interne d’exploitation agricole*],0)),FALSE,TRUE))</f>
        <v>1</v>
      </c>
      <c r="AF253" s="178" t="str">
        <f t="shared" si="16"/>
        <v>SAI JULES</v>
      </c>
      <c r="AG253" s="179" t="str">
        <f t="shared" si="17"/>
        <v>26/7/2021</v>
      </c>
      <c r="AH253" s="180">
        <f t="shared" si="15"/>
        <v>4</v>
      </c>
      <c r="AI253" s="181">
        <f t="shared" si="18"/>
        <v>0.16666666666666666</v>
      </c>
    </row>
    <row r="254" spans="1:35" ht="15">
      <c r="A254" s="170" t="s">
        <v>1638</v>
      </c>
      <c r="B254" s="171" t="s">
        <v>1638</v>
      </c>
      <c r="C254" s="171" t="s">
        <v>1638</v>
      </c>
      <c r="D254" s="171" t="s">
        <v>1251</v>
      </c>
      <c r="E254" s="171" t="s">
        <v>668</v>
      </c>
      <c r="F254" s="171" t="s">
        <v>669</v>
      </c>
      <c r="G254" s="171" t="s">
        <v>670</v>
      </c>
      <c r="H254" s="195">
        <v>3.5871</v>
      </c>
      <c r="I254" s="171" t="s">
        <v>671</v>
      </c>
      <c r="J254" s="57">
        <v>1</v>
      </c>
      <c r="K254" s="172">
        <v>2021</v>
      </c>
      <c r="L254" s="173" t="s">
        <v>1635</v>
      </c>
      <c r="M254" s="173" t="s">
        <v>1549</v>
      </c>
      <c r="N254" s="174" t="s">
        <v>1639</v>
      </c>
      <c r="O254" s="171" t="s">
        <v>1640</v>
      </c>
      <c r="P254" s="171" t="s">
        <v>675</v>
      </c>
      <c r="Q254" s="209">
        <v>1966</v>
      </c>
      <c r="R254" s="171">
        <v>8</v>
      </c>
      <c r="S254" s="171"/>
      <c r="T254" s="173"/>
      <c r="U254" s="171"/>
      <c r="V254" s="171"/>
      <c r="W254" s="171"/>
      <c r="X254" s="57">
        <v>0</v>
      </c>
      <c r="Y254" s="172">
        <v>2</v>
      </c>
      <c r="Z254" s="175" t="s">
        <v>1256</v>
      </c>
      <c r="AA254" s="176">
        <v>2021</v>
      </c>
      <c r="AB254" s="176">
        <v>7</v>
      </c>
      <c r="AC254" s="176">
        <v>15</v>
      </c>
      <c r="AD254" s="177" t="b">
        <f>IF(ISBLANK(GroupMember[[#This Row],[1. Identifiant interne d’exploitation agricole*]]),"",IF(ISERROR(MATCH(GroupMember[[#This Row],[1. Identifiant interne d’exploitation agricole*]],CertifiedCrop[1. Identifiant interne d’exploitation agricole*],0)),FALSE,TRUE))</f>
        <v>1</v>
      </c>
      <c r="AE254" s="177" t="b">
        <f>IF(ISBLANK(GroupMember[[#This Row],[1. Identifiant interne d’exploitation agricole*]]),"",IF(ISERROR(MATCH(GroupMember[[#This Row],[1. Identifiant interne d’exploitation agricole*]],FarmUnit[1. Identifiant interne d’exploitation agricole*],0)),FALSE,TRUE))</f>
        <v>1</v>
      </c>
      <c r="AF254" s="178" t="str">
        <f t="shared" si="16"/>
        <v>SAI JEAN BAPTISTE</v>
      </c>
      <c r="AG254" s="179" t="str">
        <f t="shared" si="17"/>
        <v>15/7/2021</v>
      </c>
      <c r="AH254" s="180">
        <f t="shared" si="15"/>
        <v>4</v>
      </c>
      <c r="AI254" s="181">
        <f t="shared" si="18"/>
        <v>0.16666666666666666</v>
      </c>
    </row>
    <row r="255" spans="1:35" ht="15">
      <c r="A255" s="170" t="s">
        <v>1641</v>
      </c>
      <c r="B255" s="171" t="s">
        <v>1641</v>
      </c>
      <c r="C255" s="171" t="s">
        <v>1641</v>
      </c>
      <c r="D255" s="171" t="s">
        <v>1251</v>
      </c>
      <c r="E255" s="171" t="s">
        <v>668</v>
      </c>
      <c r="F255" s="171" t="s">
        <v>669</v>
      </c>
      <c r="G255" s="171" t="s">
        <v>670</v>
      </c>
      <c r="H255" s="195">
        <v>2.1451000000000002</v>
      </c>
      <c r="I255" s="171" t="s">
        <v>671</v>
      </c>
      <c r="J255" s="57">
        <v>1</v>
      </c>
      <c r="K255" s="172">
        <v>2021</v>
      </c>
      <c r="L255" s="173" t="s">
        <v>1642</v>
      </c>
      <c r="M255" s="173" t="s">
        <v>1643</v>
      </c>
      <c r="N255" s="174" t="s">
        <v>1644</v>
      </c>
      <c r="O255" s="171" t="s">
        <v>2566</v>
      </c>
      <c r="P255" s="171" t="s">
        <v>675</v>
      </c>
      <c r="Q255" s="209">
        <v>1996</v>
      </c>
      <c r="R255" s="171">
        <v>1</v>
      </c>
      <c r="S255" s="171"/>
      <c r="T255" s="173"/>
      <c r="U255" s="171"/>
      <c r="V255" s="171"/>
      <c r="W255" s="171"/>
      <c r="X255" s="57">
        <v>0</v>
      </c>
      <c r="Y255" s="172">
        <v>2</v>
      </c>
      <c r="Z255" s="175" t="s">
        <v>1256</v>
      </c>
      <c r="AA255" s="176">
        <v>2021</v>
      </c>
      <c r="AB255" s="176">
        <v>8</v>
      </c>
      <c r="AC255" s="176">
        <v>23</v>
      </c>
      <c r="AD255" s="177" t="b">
        <f>IF(ISBLANK(GroupMember[[#This Row],[1. Identifiant interne d’exploitation agricole*]]),"",IF(ISERROR(MATCH(GroupMember[[#This Row],[1. Identifiant interne d’exploitation agricole*]],CertifiedCrop[1. Identifiant interne d’exploitation agricole*],0)),FALSE,TRUE))</f>
        <v>1</v>
      </c>
      <c r="AE255" s="177" t="b">
        <f>IF(ISBLANK(GroupMember[[#This Row],[1. Identifiant interne d’exploitation agricole*]]),"",IF(ISERROR(MATCH(GroupMember[[#This Row],[1. Identifiant interne d’exploitation agricole*]],FarmUnit[1. Identifiant interne d’exploitation agricole*],0)),FALSE,TRUE))</f>
        <v>1</v>
      </c>
      <c r="AF255" s="178" t="str">
        <f t="shared" si="16"/>
        <v>DOUEU DESCARD</v>
      </c>
      <c r="AG255" s="179" t="str">
        <f t="shared" si="17"/>
        <v>23/8/2021</v>
      </c>
      <c r="AH255" s="180">
        <f t="shared" si="15"/>
        <v>4</v>
      </c>
      <c r="AI255" s="181">
        <f t="shared" si="18"/>
        <v>0.16666666666666666</v>
      </c>
    </row>
    <row r="256" spans="1:35" ht="15">
      <c r="A256" s="170" t="s">
        <v>1645</v>
      </c>
      <c r="B256" s="171" t="s">
        <v>1645</v>
      </c>
      <c r="C256" s="171" t="s">
        <v>1645</v>
      </c>
      <c r="D256" s="171" t="s">
        <v>1251</v>
      </c>
      <c r="E256" s="171" t="s">
        <v>668</v>
      </c>
      <c r="F256" s="171" t="s">
        <v>669</v>
      </c>
      <c r="G256" s="171" t="s">
        <v>670</v>
      </c>
      <c r="H256" s="195">
        <v>3.0179</v>
      </c>
      <c r="I256" s="171" t="s">
        <v>671</v>
      </c>
      <c r="J256" s="57">
        <v>1</v>
      </c>
      <c r="K256" s="172">
        <v>2021</v>
      </c>
      <c r="L256" s="173" t="s">
        <v>1252</v>
      </c>
      <c r="M256" s="173" t="s">
        <v>1646</v>
      </c>
      <c r="N256" s="174" t="s">
        <v>1647</v>
      </c>
      <c r="O256" s="171" t="s">
        <v>1648</v>
      </c>
      <c r="P256" s="171" t="s">
        <v>675</v>
      </c>
      <c r="Q256" s="209">
        <v>1967</v>
      </c>
      <c r="R256" s="171">
        <v>6</v>
      </c>
      <c r="S256" s="171"/>
      <c r="T256" s="173"/>
      <c r="U256" s="171"/>
      <c r="V256" s="171"/>
      <c r="W256" s="171"/>
      <c r="X256" s="57">
        <v>0</v>
      </c>
      <c r="Y256" s="172">
        <v>2</v>
      </c>
      <c r="Z256" s="175" t="s">
        <v>1256</v>
      </c>
      <c r="AA256" s="176">
        <v>2021</v>
      </c>
      <c r="AB256" s="176">
        <v>8</v>
      </c>
      <c r="AC256" s="176">
        <v>18</v>
      </c>
      <c r="AD256" s="177" t="b">
        <f>IF(ISBLANK(GroupMember[[#This Row],[1. Identifiant interne d’exploitation agricole*]]),"",IF(ISERROR(MATCH(GroupMember[[#This Row],[1. Identifiant interne d’exploitation agricole*]],CertifiedCrop[1. Identifiant interne d’exploitation agricole*],0)),FALSE,TRUE))</f>
        <v>1</v>
      </c>
      <c r="AE256" s="177" t="b">
        <f>IF(ISBLANK(GroupMember[[#This Row],[1. Identifiant interne d’exploitation agricole*]]),"",IF(ISERROR(MATCH(GroupMember[[#This Row],[1. Identifiant interne d’exploitation agricole*]],FarmUnit[1. Identifiant interne d’exploitation agricole*],0)),FALSE,TRUE))</f>
        <v>1</v>
      </c>
      <c r="AF256" s="178" t="str">
        <f t="shared" si="16"/>
        <v>OULAI JACQUET</v>
      </c>
      <c r="AG256" s="179" t="str">
        <f t="shared" si="17"/>
        <v>18/8/2021</v>
      </c>
      <c r="AH256" s="180">
        <f t="shared" si="15"/>
        <v>2</v>
      </c>
      <c r="AI256" s="181">
        <f t="shared" si="18"/>
        <v>0.16666666666666666</v>
      </c>
    </row>
    <row r="257" spans="1:35" ht="15">
      <c r="A257" s="170" t="s">
        <v>1649</v>
      </c>
      <c r="B257" s="171" t="s">
        <v>1649</v>
      </c>
      <c r="C257" s="171" t="s">
        <v>1649</v>
      </c>
      <c r="D257" s="171" t="s">
        <v>1251</v>
      </c>
      <c r="E257" s="171" t="s">
        <v>668</v>
      </c>
      <c r="F257" s="171" t="s">
        <v>669</v>
      </c>
      <c r="G257" s="171" t="s">
        <v>670</v>
      </c>
      <c r="H257" s="195">
        <v>2.2076000000000002</v>
      </c>
      <c r="I257" s="171" t="s">
        <v>671</v>
      </c>
      <c r="J257" s="57">
        <v>1</v>
      </c>
      <c r="K257" s="172">
        <v>2021</v>
      </c>
      <c r="L257" s="173" t="s">
        <v>1252</v>
      </c>
      <c r="M257" s="173" t="s">
        <v>1650</v>
      </c>
      <c r="N257" s="174" t="s">
        <v>1651</v>
      </c>
      <c r="O257" s="171" t="s">
        <v>2567</v>
      </c>
      <c r="P257" s="171" t="s">
        <v>675</v>
      </c>
      <c r="Q257" s="209">
        <v>1989</v>
      </c>
      <c r="R257" s="171">
        <v>5</v>
      </c>
      <c r="S257" s="171"/>
      <c r="T257" s="173"/>
      <c r="U257" s="171"/>
      <c r="V257" s="171"/>
      <c r="W257" s="171"/>
      <c r="X257" s="57">
        <v>0</v>
      </c>
      <c r="Y257" s="172">
        <v>2</v>
      </c>
      <c r="Z257" s="175" t="s">
        <v>1256</v>
      </c>
      <c r="AA257" s="176">
        <v>2021</v>
      </c>
      <c r="AB257" s="176">
        <v>7</v>
      </c>
      <c r="AC257" s="176">
        <v>22</v>
      </c>
      <c r="AD257" s="177" t="b">
        <f>IF(ISBLANK(GroupMember[[#This Row],[1. Identifiant interne d’exploitation agricole*]]),"",IF(ISERROR(MATCH(GroupMember[[#This Row],[1. Identifiant interne d’exploitation agricole*]],CertifiedCrop[1. Identifiant interne d’exploitation agricole*],0)),FALSE,TRUE))</f>
        <v>1</v>
      </c>
      <c r="AE257" s="177" t="b">
        <f>IF(ISBLANK(GroupMember[[#This Row],[1. Identifiant interne d’exploitation agricole*]]),"",IF(ISERROR(MATCH(GroupMember[[#This Row],[1. Identifiant interne d’exploitation agricole*]],FarmUnit[1. Identifiant interne d’exploitation agricole*],0)),FALSE,TRUE))</f>
        <v>1</v>
      </c>
      <c r="AF257" s="178" t="str">
        <f t="shared" si="16"/>
        <v>OULAI BARTHELEMY</v>
      </c>
      <c r="AG257" s="179" t="str">
        <f t="shared" si="17"/>
        <v>22/7/2021</v>
      </c>
      <c r="AH257" s="180">
        <f t="shared" si="15"/>
        <v>5</v>
      </c>
      <c r="AI257" s="181">
        <f t="shared" si="18"/>
        <v>0.16666666666666666</v>
      </c>
    </row>
    <row r="258" spans="1:35" ht="15">
      <c r="A258" s="170" t="s">
        <v>1652</v>
      </c>
      <c r="B258" s="171" t="s">
        <v>1652</v>
      </c>
      <c r="C258" s="171" t="s">
        <v>1652</v>
      </c>
      <c r="D258" s="171" t="s">
        <v>1251</v>
      </c>
      <c r="E258" s="171" t="s">
        <v>668</v>
      </c>
      <c r="F258" s="171" t="s">
        <v>669</v>
      </c>
      <c r="G258" s="171" t="s">
        <v>670</v>
      </c>
      <c r="H258" s="195">
        <v>1.5291000000000001</v>
      </c>
      <c r="I258" s="171" t="s">
        <v>671</v>
      </c>
      <c r="J258" s="57">
        <v>1</v>
      </c>
      <c r="K258" s="172">
        <v>2021</v>
      </c>
      <c r="L258" s="173" t="s">
        <v>1653</v>
      </c>
      <c r="M258" s="173" t="s">
        <v>1654</v>
      </c>
      <c r="N258" s="174" t="s">
        <v>1655</v>
      </c>
      <c r="O258" s="171" t="s">
        <v>1656</v>
      </c>
      <c r="P258" s="171" t="s">
        <v>675</v>
      </c>
      <c r="Q258" s="209">
        <v>1955</v>
      </c>
      <c r="R258" s="171">
        <v>6</v>
      </c>
      <c r="S258" s="171"/>
      <c r="T258" s="173"/>
      <c r="U258" s="171"/>
      <c r="V258" s="171"/>
      <c r="W258" s="171"/>
      <c r="X258" s="57">
        <v>0</v>
      </c>
      <c r="Y258" s="172">
        <v>2</v>
      </c>
      <c r="Z258" s="175" t="s">
        <v>1256</v>
      </c>
      <c r="AA258" s="176">
        <v>2021</v>
      </c>
      <c r="AB258" s="176">
        <v>7</v>
      </c>
      <c r="AC258" s="176">
        <v>21</v>
      </c>
      <c r="AD258" s="177" t="b">
        <f>IF(ISBLANK(GroupMember[[#This Row],[1. Identifiant interne d’exploitation agricole*]]),"",IF(ISERROR(MATCH(GroupMember[[#This Row],[1. Identifiant interne d’exploitation agricole*]],CertifiedCrop[1. Identifiant interne d’exploitation agricole*],0)),FALSE,TRUE))</f>
        <v>1</v>
      </c>
      <c r="AE258" s="177" t="b">
        <f>IF(ISBLANK(GroupMember[[#This Row],[1. Identifiant interne d’exploitation agricole*]]),"",IF(ISERROR(MATCH(GroupMember[[#This Row],[1. Identifiant interne d’exploitation agricole*]],FarmUnit[1. Identifiant interne d’exploitation agricole*],0)),FALSE,TRUE))</f>
        <v>1</v>
      </c>
      <c r="AF258" s="178" t="str">
        <f t="shared" si="16"/>
        <v>SINGE DION ALPONSE</v>
      </c>
      <c r="AG258" s="179" t="str">
        <f t="shared" si="17"/>
        <v>21/7/2021</v>
      </c>
      <c r="AH258" s="180">
        <f t="shared" si="15"/>
        <v>2</v>
      </c>
      <c r="AI258" s="181">
        <f t="shared" si="18"/>
        <v>0.16666666666666666</v>
      </c>
    </row>
    <row r="259" spans="1:35" ht="15">
      <c r="A259" s="170" t="s">
        <v>1657</v>
      </c>
      <c r="B259" s="171" t="s">
        <v>1657</v>
      </c>
      <c r="C259" s="171" t="s">
        <v>1657</v>
      </c>
      <c r="D259" s="171" t="s">
        <v>1251</v>
      </c>
      <c r="E259" s="171" t="s">
        <v>668</v>
      </c>
      <c r="F259" s="171" t="s">
        <v>669</v>
      </c>
      <c r="G259" s="171" t="s">
        <v>670</v>
      </c>
      <c r="H259" s="195">
        <v>2.5265</v>
      </c>
      <c r="I259" s="171" t="s">
        <v>671</v>
      </c>
      <c r="J259" s="57">
        <v>1</v>
      </c>
      <c r="K259" s="172">
        <v>2021</v>
      </c>
      <c r="L259" s="173" t="s">
        <v>1377</v>
      </c>
      <c r="M259" s="173" t="s">
        <v>1658</v>
      </c>
      <c r="N259" s="174" t="s">
        <v>1659</v>
      </c>
      <c r="O259" s="171" t="s">
        <v>2568</v>
      </c>
      <c r="P259" s="171" t="s">
        <v>675</v>
      </c>
      <c r="Q259" s="209">
        <v>1998</v>
      </c>
      <c r="R259" s="171">
        <v>5</v>
      </c>
      <c r="S259" s="171"/>
      <c r="T259" s="173"/>
      <c r="U259" s="171"/>
      <c r="V259" s="171"/>
      <c r="W259" s="171"/>
      <c r="X259" s="57">
        <v>0</v>
      </c>
      <c r="Y259" s="172">
        <v>2</v>
      </c>
      <c r="Z259" s="175" t="s">
        <v>1256</v>
      </c>
      <c r="AA259" s="176">
        <v>2021</v>
      </c>
      <c r="AB259" s="176">
        <v>7</v>
      </c>
      <c r="AC259" s="176">
        <v>13</v>
      </c>
      <c r="AD259" s="177" t="b">
        <f>IF(ISBLANK(GroupMember[[#This Row],[1. Identifiant interne d’exploitation agricole*]]),"",IF(ISERROR(MATCH(GroupMember[[#This Row],[1. Identifiant interne d’exploitation agricole*]],CertifiedCrop[1. Identifiant interne d’exploitation agricole*],0)),FALSE,TRUE))</f>
        <v>1</v>
      </c>
      <c r="AE259" s="177" t="b">
        <f>IF(ISBLANK(GroupMember[[#This Row],[1. Identifiant interne d’exploitation agricole*]]),"",IF(ISERROR(MATCH(GroupMember[[#This Row],[1. Identifiant interne d’exploitation agricole*]],FarmUnit[1. Identifiant interne d’exploitation agricole*],0)),FALSE,TRUE))</f>
        <v>1</v>
      </c>
      <c r="AF259" s="178" t="str">
        <f t="shared" si="16"/>
        <v>DION FULGENCE</v>
      </c>
      <c r="AG259" s="179" t="str">
        <f t="shared" si="17"/>
        <v>13/7/2021</v>
      </c>
      <c r="AH259" s="180">
        <f t="shared" ref="AH259:AH307" si="19">COUNTIFS(Z:Z,Z259,AG:AG,AG259)</f>
        <v>4</v>
      </c>
      <c r="AI259" s="181">
        <f t="shared" si="18"/>
        <v>0.16666666666666666</v>
      </c>
    </row>
    <row r="260" spans="1:35" ht="15">
      <c r="A260" s="170" t="s">
        <v>1660</v>
      </c>
      <c r="B260" s="171" t="s">
        <v>1660</v>
      </c>
      <c r="C260" s="171" t="s">
        <v>1660</v>
      </c>
      <c r="D260" s="171" t="s">
        <v>1251</v>
      </c>
      <c r="E260" s="171" t="s">
        <v>668</v>
      </c>
      <c r="F260" s="171" t="s">
        <v>669</v>
      </c>
      <c r="G260" s="171" t="s">
        <v>670</v>
      </c>
      <c r="H260" s="195">
        <v>2.1448999999999998</v>
      </c>
      <c r="I260" s="171" t="s">
        <v>671</v>
      </c>
      <c r="J260" s="57">
        <v>1</v>
      </c>
      <c r="K260" s="172">
        <v>2021</v>
      </c>
      <c r="L260" s="173" t="s">
        <v>1661</v>
      </c>
      <c r="M260" s="173" t="s">
        <v>1662</v>
      </c>
      <c r="N260" s="174" t="s">
        <v>1663</v>
      </c>
      <c r="O260" s="171" t="s">
        <v>1664</v>
      </c>
      <c r="P260" s="171" t="s">
        <v>675</v>
      </c>
      <c r="Q260" s="209">
        <v>1988</v>
      </c>
      <c r="R260" s="171">
        <v>4</v>
      </c>
      <c r="S260" s="171"/>
      <c r="T260" s="173"/>
      <c r="U260" s="171"/>
      <c r="V260" s="171"/>
      <c r="W260" s="171"/>
      <c r="X260" s="57">
        <v>0</v>
      </c>
      <c r="Y260" s="172">
        <v>2</v>
      </c>
      <c r="Z260" s="175" t="s">
        <v>1256</v>
      </c>
      <c r="AA260" s="176">
        <v>2021</v>
      </c>
      <c r="AB260" s="176">
        <v>7</v>
      </c>
      <c r="AC260" s="176">
        <v>8</v>
      </c>
      <c r="AD260" s="177" t="b">
        <f>IF(ISBLANK(GroupMember[[#This Row],[1. Identifiant interne d’exploitation agricole*]]),"",IF(ISERROR(MATCH(GroupMember[[#This Row],[1. Identifiant interne d’exploitation agricole*]],CertifiedCrop[1. Identifiant interne d’exploitation agricole*],0)),FALSE,TRUE))</f>
        <v>1</v>
      </c>
      <c r="AE260" s="177" t="b">
        <f>IF(ISBLANK(GroupMember[[#This Row],[1. Identifiant interne d’exploitation agricole*]]),"",IF(ISERROR(MATCH(GroupMember[[#This Row],[1. Identifiant interne d’exploitation agricole*]],FarmUnit[1. Identifiant interne d’exploitation agricole*],0)),FALSE,TRUE))</f>
        <v>1</v>
      </c>
      <c r="AF260" s="178" t="str">
        <f t="shared" si="16"/>
        <v>FEH GUEU RODOLPH</v>
      </c>
      <c r="AG260" s="179" t="str">
        <f t="shared" si="17"/>
        <v>8/7/2021</v>
      </c>
      <c r="AH260" s="180">
        <f t="shared" si="19"/>
        <v>6</v>
      </c>
      <c r="AI260" s="181">
        <f t="shared" si="18"/>
        <v>0.16666666666666666</v>
      </c>
    </row>
    <row r="261" spans="1:35" ht="15">
      <c r="A261" s="170" t="s">
        <v>1665</v>
      </c>
      <c r="B261" s="171" t="s">
        <v>1665</v>
      </c>
      <c r="C261" s="171" t="s">
        <v>1665</v>
      </c>
      <c r="D261" s="171" t="s">
        <v>1251</v>
      </c>
      <c r="E261" s="171" t="s">
        <v>668</v>
      </c>
      <c r="F261" s="171" t="s">
        <v>669</v>
      </c>
      <c r="G261" s="171" t="s">
        <v>670</v>
      </c>
      <c r="H261" s="195">
        <v>2.4474</v>
      </c>
      <c r="I261" s="171" t="s">
        <v>671</v>
      </c>
      <c r="J261" s="57">
        <v>1</v>
      </c>
      <c r="K261" s="172">
        <v>2021</v>
      </c>
      <c r="L261" s="173" t="s">
        <v>1666</v>
      </c>
      <c r="M261" s="173" t="s">
        <v>1388</v>
      </c>
      <c r="N261" s="174" t="s">
        <v>1667</v>
      </c>
      <c r="O261" s="171" t="s">
        <v>1668</v>
      </c>
      <c r="P261" s="171" t="s">
        <v>675</v>
      </c>
      <c r="Q261" s="209">
        <v>1989</v>
      </c>
      <c r="R261" s="171">
        <v>6</v>
      </c>
      <c r="S261" s="171"/>
      <c r="T261" s="173"/>
      <c r="U261" s="171"/>
      <c r="V261" s="171"/>
      <c r="W261" s="171"/>
      <c r="X261" s="57">
        <v>0</v>
      </c>
      <c r="Y261" s="172">
        <v>2</v>
      </c>
      <c r="Z261" s="175" t="s">
        <v>1256</v>
      </c>
      <c r="AA261" s="176">
        <v>2021</v>
      </c>
      <c r="AB261" s="176">
        <v>8</v>
      </c>
      <c r="AC261" s="176">
        <v>17</v>
      </c>
      <c r="AD261" s="177" t="b">
        <f>IF(ISBLANK(GroupMember[[#This Row],[1. Identifiant interne d’exploitation agricole*]]),"",IF(ISERROR(MATCH(GroupMember[[#This Row],[1. Identifiant interne d’exploitation agricole*]],CertifiedCrop[1. Identifiant interne d’exploitation agricole*],0)),FALSE,TRUE))</f>
        <v>1</v>
      </c>
      <c r="AE261" s="177" t="b">
        <f>IF(ISBLANK(GroupMember[[#This Row],[1. Identifiant interne d’exploitation agricole*]]),"",IF(ISERROR(MATCH(GroupMember[[#This Row],[1. Identifiant interne d’exploitation agricole*]],FarmUnit[1. Identifiant interne d’exploitation agricole*],0)),FALSE,TRUE))</f>
        <v>1</v>
      </c>
      <c r="AF261" s="178" t="str">
        <f t="shared" si="16"/>
        <v>KEI KOUAKOU FRANCK</v>
      </c>
      <c r="AG261" s="179" t="str">
        <f t="shared" si="17"/>
        <v>17/8/2021</v>
      </c>
      <c r="AH261" s="180">
        <f t="shared" si="19"/>
        <v>4</v>
      </c>
      <c r="AI261" s="181">
        <f t="shared" si="18"/>
        <v>0.16666666666666666</v>
      </c>
    </row>
    <row r="262" spans="1:35" ht="15">
      <c r="A262" s="170" t="s">
        <v>1669</v>
      </c>
      <c r="B262" s="171" t="s">
        <v>1669</v>
      </c>
      <c r="C262" s="171" t="s">
        <v>1669</v>
      </c>
      <c r="D262" s="171" t="s">
        <v>1251</v>
      </c>
      <c r="E262" s="171" t="s">
        <v>668</v>
      </c>
      <c r="F262" s="171" t="s">
        <v>669</v>
      </c>
      <c r="G262" s="171" t="s">
        <v>670</v>
      </c>
      <c r="H262" s="195">
        <v>2.9127999999999998</v>
      </c>
      <c r="I262" s="171" t="s">
        <v>671</v>
      </c>
      <c r="J262" s="57">
        <v>1</v>
      </c>
      <c r="K262" s="172">
        <v>2021</v>
      </c>
      <c r="L262" s="173" t="s">
        <v>1670</v>
      </c>
      <c r="M262" s="173" t="s">
        <v>987</v>
      </c>
      <c r="N262" s="174" t="s">
        <v>1671</v>
      </c>
      <c r="O262" s="171" t="s">
        <v>1672</v>
      </c>
      <c r="P262" s="171" t="s">
        <v>675</v>
      </c>
      <c r="Q262" s="209">
        <v>1950</v>
      </c>
      <c r="R262" s="171">
        <v>7</v>
      </c>
      <c r="S262" s="171"/>
      <c r="T262" s="173"/>
      <c r="U262" s="171"/>
      <c r="V262" s="171"/>
      <c r="W262" s="171"/>
      <c r="X262" s="57">
        <v>0</v>
      </c>
      <c r="Y262" s="172">
        <v>2</v>
      </c>
      <c r="Z262" s="175" t="s">
        <v>1256</v>
      </c>
      <c r="AA262" s="176">
        <v>2021</v>
      </c>
      <c r="AB262" s="176">
        <v>7</v>
      </c>
      <c r="AC262" s="176">
        <v>20</v>
      </c>
      <c r="AD262" s="177" t="b">
        <f>IF(ISBLANK(GroupMember[[#This Row],[1. Identifiant interne d’exploitation agricole*]]),"",IF(ISERROR(MATCH(GroupMember[[#This Row],[1. Identifiant interne d’exploitation agricole*]],CertifiedCrop[1. Identifiant interne d’exploitation agricole*],0)),FALSE,TRUE))</f>
        <v>1</v>
      </c>
      <c r="AE262" s="177" t="b">
        <f>IF(ISBLANK(GroupMember[[#This Row],[1. Identifiant interne d’exploitation agricole*]]),"",IF(ISERROR(MATCH(GroupMember[[#This Row],[1. Identifiant interne d’exploitation agricole*]],FarmUnit[1. Identifiant interne d’exploitation agricole*],0)),FALSE,TRUE))</f>
        <v>1</v>
      </c>
      <c r="AF262" s="178" t="str">
        <f t="shared" si="16"/>
        <v>TONGA AUGUSTIN</v>
      </c>
      <c r="AG262" s="179" t="str">
        <f t="shared" si="17"/>
        <v>20/7/2021</v>
      </c>
      <c r="AH262" s="180">
        <f t="shared" si="19"/>
        <v>5</v>
      </c>
      <c r="AI262" s="181">
        <f t="shared" si="18"/>
        <v>0.16666666666666666</v>
      </c>
    </row>
    <row r="263" spans="1:35" ht="15">
      <c r="A263" s="170" t="s">
        <v>1673</v>
      </c>
      <c r="B263" s="171" t="s">
        <v>1673</v>
      </c>
      <c r="C263" s="171" t="s">
        <v>1673</v>
      </c>
      <c r="D263" s="171" t="s">
        <v>1251</v>
      </c>
      <c r="E263" s="171" t="s">
        <v>668</v>
      </c>
      <c r="F263" s="171" t="s">
        <v>669</v>
      </c>
      <c r="G263" s="171" t="s">
        <v>670</v>
      </c>
      <c r="H263" s="195">
        <v>2.2091000000000003</v>
      </c>
      <c r="I263" s="171" t="s">
        <v>671</v>
      </c>
      <c r="J263" s="57">
        <v>1</v>
      </c>
      <c r="K263" s="172">
        <v>2021</v>
      </c>
      <c r="L263" s="173" t="s">
        <v>1674</v>
      </c>
      <c r="M263" s="173" t="s">
        <v>1675</v>
      </c>
      <c r="N263" s="174" t="s">
        <v>1676</v>
      </c>
      <c r="O263" s="171" t="s">
        <v>2569</v>
      </c>
      <c r="P263" s="171" t="s">
        <v>675</v>
      </c>
      <c r="Q263" s="209">
        <v>1980</v>
      </c>
      <c r="R263" s="171">
        <v>6</v>
      </c>
      <c r="S263" s="171"/>
      <c r="T263" s="173"/>
      <c r="U263" s="171"/>
      <c r="V263" s="171"/>
      <c r="W263" s="171"/>
      <c r="X263" s="57">
        <v>0</v>
      </c>
      <c r="Y263" s="172">
        <v>2</v>
      </c>
      <c r="Z263" s="175" t="s">
        <v>1256</v>
      </c>
      <c r="AA263" s="176">
        <v>2021</v>
      </c>
      <c r="AB263" s="176">
        <v>8</v>
      </c>
      <c r="AC263" s="176">
        <v>2</v>
      </c>
      <c r="AD263" s="177" t="b">
        <f>IF(ISBLANK(GroupMember[[#This Row],[1. Identifiant interne d’exploitation agricole*]]),"",IF(ISERROR(MATCH(GroupMember[[#This Row],[1. Identifiant interne d’exploitation agricole*]],CertifiedCrop[1. Identifiant interne d’exploitation agricole*],0)),FALSE,TRUE))</f>
        <v>1</v>
      </c>
      <c r="AE263" s="177" t="b">
        <f>IF(ISBLANK(GroupMember[[#This Row],[1. Identifiant interne d’exploitation agricole*]]),"",IF(ISERROR(MATCH(GroupMember[[#This Row],[1. Identifiant interne d’exploitation agricole*]],FarmUnit[1. Identifiant interne d’exploitation agricole*],0)),FALSE,TRUE))</f>
        <v>1</v>
      </c>
      <c r="AF263" s="178" t="str">
        <f t="shared" si="16"/>
        <v>OULAI DETY HERVE</v>
      </c>
      <c r="AG263" s="179" t="str">
        <f t="shared" si="17"/>
        <v>2/8/2021</v>
      </c>
      <c r="AH263" s="180">
        <f t="shared" si="19"/>
        <v>1</v>
      </c>
      <c r="AI263" s="181">
        <f t="shared" si="18"/>
        <v>0.16666666666666666</v>
      </c>
    </row>
    <row r="264" spans="1:35" ht="15">
      <c r="A264" s="170" t="s">
        <v>1677</v>
      </c>
      <c r="B264" s="171" t="s">
        <v>1677</v>
      </c>
      <c r="C264" s="171" t="s">
        <v>1677</v>
      </c>
      <c r="D264" s="171" t="s">
        <v>1251</v>
      </c>
      <c r="E264" s="171" t="s">
        <v>668</v>
      </c>
      <c r="F264" s="171" t="s">
        <v>669</v>
      </c>
      <c r="G264" s="171" t="s">
        <v>670</v>
      </c>
      <c r="H264" s="195">
        <v>1.8893</v>
      </c>
      <c r="I264" s="171" t="s">
        <v>671</v>
      </c>
      <c r="J264" s="57">
        <v>1</v>
      </c>
      <c r="K264" s="172">
        <v>2021</v>
      </c>
      <c r="L264" s="173" t="s">
        <v>1252</v>
      </c>
      <c r="M264" s="173" t="s">
        <v>1678</v>
      </c>
      <c r="N264" s="174" t="s">
        <v>1679</v>
      </c>
      <c r="O264" s="171" t="s">
        <v>2570</v>
      </c>
      <c r="P264" s="171" t="s">
        <v>675</v>
      </c>
      <c r="Q264" s="209">
        <v>1941</v>
      </c>
      <c r="R264" s="171">
        <v>1</v>
      </c>
      <c r="S264" s="171"/>
      <c r="T264" s="173"/>
      <c r="U264" s="171"/>
      <c r="V264" s="171"/>
      <c r="W264" s="171"/>
      <c r="X264" s="57">
        <v>0</v>
      </c>
      <c r="Y264" s="172">
        <v>2</v>
      </c>
      <c r="Z264" s="175" t="s">
        <v>1256</v>
      </c>
      <c r="AA264" s="176">
        <v>2021</v>
      </c>
      <c r="AB264" s="176">
        <v>8</v>
      </c>
      <c r="AC264" s="176">
        <v>23</v>
      </c>
      <c r="AD264" s="177" t="b">
        <f>IF(ISBLANK(GroupMember[[#This Row],[1. Identifiant interne d’exploitation agricole*]]),"",IF(ISERROR(MATCH(GroupMember[[#This Row],[1. Identifiant interne d’exploitation agricole*]],CertifiedCrop[1. Identifiant interne d’exploitation agricole*],0)),FALSE,TRUE))</f>
        <v>1</v>
      </c>
      <c r="AE264" s="177" t="b">
        <f>IF(ISBLANK(GroupMember[[#This Row],[1. Identifiant interne d’exploitation agricole*]]),"",IF(ISERROR(MATCH(GroupMember[[#This Row],[1. Identifiant interne d’exploitation agricole*]],FarmUnit[1. Identifiant interne d’exploitation agricole*],0)),FALSE,TRUE))</f>
        <v>1</v>
      </c>
      <c r="AF264" s="178" t="str">
        <f t="shared" si="16"/>
        <v>OULAI GBANGUE</v>
      </c>
      <c r="AG264" s="179" t="str">
        <f t="shared" si="17"/>
        <v>23/8/2021</v>
      </c>
      <c r="AH264" s="180">
        <f t="shared" si="19"/>
        <v>4</v>
      </c>
      <c r="AI264" s="181">
        <f t="shared" si="18"/>
        <v>0.16666666666666666</v>
      </c>
    </row>
    <row r="265" spans="1:35" ht="15">
      <c r="A265" s="170" t="s">
        <v>1680</v>
      </c>
      <c r="B265" s="171" t="s">
        <v>1680</v>
      </c>
      <c r="C265" s="171" t="s">
        <v>1680</v>
      </c>
      <c r="D265" s="171" t="s">
        <v>1251</v>
      </c>
      <c r="E265" s="171" t="s">
        <v>668</v>
      </c>
      <c r="F265" s="171" t="s">
        <v>669</v>
      </c>
      <c r="G265" s="171" t="s">
        <v>670</v>
      </c>
      <c r="H265" s="195">
        <v>3.9660000000000002</v>
      </c>
      <c r="I265" s="171" t="s">
        <v>671</v>
      </c>
      <c r="J265" s="57">
        <v>1</v>
      </c>
      <c r="K265" s="172">
        <v>2021</v>
      </c>
      <c r="L265" s="173" t="s">
        <v>1681</v>
      </c>
      <c r="M265" s="173" t="s">
        <v>1682</v>
      </c>
      <c r="N265" s="174" t="s">
        <v>1683</v>
      </c>
      <c r="O265" s="171" t="s">
        <v>2571</v>
      </c>
      <c r="P265" s="171" t="s">
        <v>675</v>
      </c>
      <c r="Q265" s="209">
        <v>1974</v>
      </c>
      <c r="R265" s="171">
        <v>11</v>
      </c>
      <c r="S265" s="171"/>
      <c r="T265" s="173"/>
      <c r="U265" s="171"/>
      <c r="V265" s="171"/>
      <c r="W265" s="171"/>
      <c r="X265" s="57">
        <v>0</v>
      </c>
      <c r="Y265" s="172">
        <v>2</v>
      </c>
      <c r="Z265" s="175" t="s">
        <v>1256</v>
      </c>
      <c r="AA265" s="176">
        <v>2021</v>
      </c>
      <c r="AB265" s="176">
        <v>8</v>
      </c>
      <c r="AC265" s="176">
        <v>19</v>
      </c>
      <c r="AD265" s="177" t="b">
        <f>IF(ISBLANK(GroupMember[[#This Row],[1. Identifiant interne d’exploitation agricole*]]),"",IF(ISERROR(MATCH(GroupMember[[#This Row],[1. Identifiant interne d’exploitation agricole*]],CertifiedCrop[1. Identifiant interne d’exploitation agricole*],0)),FALSE,TRUE))</f>
        <v>1</v>
      </c>
      <c r="AE265" s="177" t="b">
        <f>IF(ISBLANK(GroupMember[[#This Row],[1. Identifiant interne d’exploitation agricole*]]),"",IF(ISERROR(MATCH(GroupMember[[#This Row],[1. Identifiant interne d’exploitation agricole*]],FarmUnit[1. Identifiant interne d’exploitation agricole*],0)),FALSE,TRUE))</f>
        <v>1</v>
      </c>
      <c r="AF265" s="178" t="str">
        <f t="shared" si="16"/>
        <v>MAHAN MARCELIN</v>
      </c>
      <c r="AG265" s="179" t="str">
        <f t="shared" si="17"/>
        <v>19/8/2021</v>
      </c>
      <c r="AH265" s="180">
        <f t="shared" si="19"/>
        <v>5</v>
      </c>
      <c r="AI265" s="181">
        <f t="shared" si="18"/>
        <v>0.16666666666666666</v>
      </c>
    </row>
    <row r="266" spans="1:35" ht="15">
      <c r="A266" s="170" t="s">
        <v>1684</v>
      </c>
      <c r="B266" s="171" t="s">
        <v>1684</v>
      </c>
      <c r="C266" s="171" t="s">
        <v>1684</v>
      </c>
      <c r="D266" s="171" t="s">
        <v>1251</v>
      </c>
      <c r="E266" s="171" t="s">
        <v>668</v>
      </c>
      <c r="F266" s="171" t="s">
        <v>669</v>
      </c>
      <c r="G266" s="171" t="s">
        <v>670</v>
      </c>
      <c r="H266" s="195">
        <v>2</v>
      </c>
      <c r="I266" s="171" t="s">
        <v>671</v>
      </c>
      <c r="J266" s="57">
        <v>1</v>
      </c>
      <c r="K266" s="172">
        <v>2021</v>
      </c>
      <c r="L266" s="173" t="s">
        <v>1685</v>
      </c>
      <c r="M266" s="173" t="s">
        <v>1686</v>
      </c>
      <c r="N266" s="174" t="s">
        <v>1683</v>
      </c>
      <c r="O266" s="171" t="s">
        <v>2572</v>
      </c>
      <c r="P266" s="171" t="s">
        <v>720</v>
      </c>
      <c r="Q266" s="209">
        <v>1979</v>
      </c>
      <c r="R266" s="171">
        <v>4</v>
      </c>
      <c r="S266" s="171"/>
      <c r="T266" s="173"/>
      <c r="U266" s="171"/>
      <c r="V266" s="171"/>
      <c r="W266" s="171"/>
      <c r="X266" s="57">
        <v>0</v>
      </c>
      <c r="Y266" s="172">
        <v>2</v>
      </c>
      <c r="Z266" s="175" t="s">
        <v>1256</v>
      </c>
      <c r="AA266" s="176">
        <v>2021</v>
      </c>
      <c r="AB266" s="176">
        <v>8</v>
      </c>
      <c r="AC266" s="176">
        <v>10</v>
      </c>
      <c r="AD266" s="177" t="b">
        <f>IF(ISBLANK(GroupMember[[#This Row],[1. Identifiant interne d’exploitation agricole*]]),"",IF(ISERROR(MATCH(GroupMember[[#This Row],[1. Identifiant interne d’exploitation agricole*]],CertifiedCrop[1. Identifiant interne d’exploitation agricole*],0)),FALSE,TRUE))</f>
        <v>1</v>
      </c>
      <c r="AE266" s="177" t="b">
        <f>IF(ISBLANK(GroupMember[[#This Row],[1. Identifiant interne d’exploitation agricole*]]),"",IF(ISERROR(MATCH(GroupMember[[#This Row],[1. Identifiant interne d’exploitation agricole*]],FarmUnit[1. Identifiant interne d’exploitation agricole*],0)),FALSE,TRUE))</f>
        <v>1</v>
      </c>
      <c r="AF266" s="178" t="str">
        <f t="shared" si="16"/>
        <v>SINGO CELINE</v>
      </c>
      <c r="AG266" s="179" t="str">
        <f t="shared" si="17"/>
        <v>10/8/2021</v>
      </c>
      <c r="AH266" s="180">
        <f t="shared" si="19"/>
        <v>4</v>
      </c>
      <c r="AI266" s="181">
        <f t="shared" si="18"/>
        <v>0.16666666666666666</v>
      </c>
    </row>
    <row r="267" spans="1:35" ht="15">
      <c r="A267" s="170" t="s">
        <v>1687</v>
      </c>
      <c r="B267" s="171" t="s">
        <v>1687</v>
      </c>
      <c r="C267" s="171" t="s">
        <v>1687</v>
      </c>
      <c r="D267" s="171" t="s">
        <v>1251</v>
      </c>
      <c r="E267" s="171" t="s">
        <v>668</v>
      </c>
      <c r="F267" s="171" t="s">
        <v>669</v>
      </c>
      <c r="G267" s="171" t="s">
        <v>670</v>
      </c>
      <c r="H267" s="195">
        <v>2.5522999999999998</v>
      </c>
      <c r="I267" s="171" t="s">
        <v>671</v>
      </c>
      <c r="J267" s="57">
        <v>1</v>
      </c>
      <c r="K267" s="172">
        <v>2021</v>
      </c>
      <c r="L267" s="173" t="s">
        <v>1252</v>
      </c>
      <c r="M267" s="173" t="s">
        <v>1688</v>
      </c>
      <c r="N267" s="174" t="s">
        <v>884</v>
      </c>
      <c r="O267" s="171" t="s">
        <v>2573</v>
      </c>
      <c r="P267" s="171" t="s">
        <v>675</v>
      </c>
      <c r="Q267" s="209">
        <v>1951</v>
      </c>
      <c r="R267" s="171">
        <v>5</v>
      </c>
      <c r="S267" s="171"/>
      <c r="T267" s="173"/>
      <c r="U267" s="171"/>
      <c r="V267" s="171"/>
      <c r="W267" s="171"/>
      <c r="X267" s="57">
        <v>0</v>
      </c>
      <c r="Y267" s="172">
        <v>2</v>
      </c>
      <c r="Z267" s="175" t="s">
        <v>1256</v>
      </c>
      <c r="AA267" s="176">
        <v>2021</v>
      </c>
      <c r="AB267" s="176">
        <v>8</v>
      </c>
      <c r="AC267" s="176">
        <v>12</v>
      </c>
      <c r="AD267" s="177" t="b">
        <f>IF(ISBLANK(GroupMember[[#This Row],[1. Identifiant interne d’exploitation agricole*]]),"",IF(ISERROR(MATCH(GroupMember[[#This Row],[1. Identifiant interne d’exploitation agricole*]],CertifiedCrop[1. Identifiant interne d’exploitation agricole*],0)),FALSE,TRUE))</f>
        <v>1</v>
      </c>
      <c r="AE267" s="177" t="b">
        <f>IF(ISBLANK(GroupMember[[#This Row],[1. Identifiant interne d’exploitation agricole*]]),"",IF(ISERROR(MATCH(GroupMember[[#This Row],[1. Identifiant interne d’exploitation agricole*]],FarmUnit[1. Identifiant interne d’exploitation agricole*],0)),FALSE,TRUE))</f>
        <v>1</v>
      </c>
      <c r="AF267" s="178" t="str">
        <f t="shared" si="16"/>
        <v>OULAI ERNEST</v>
      </c>
      <c r="AG267" s="179" t="str">
        <f t="shared" si="17"/>
        <v>12/8/2021</v>
      </c>
      <c r="AH267" s="180">
        <f t="shared" si="19"/>
        <v>5</v>
      </c>
      <c r="AI267" s="181">
        <f t="shared" si="18"/>
        <v>0.16666666666666666</v>
      </c>
    </row>
    <row r="268" spans="1:35" ht="15">
      <c r="A268" s="170" t="s">
        <v>1689</v>
      </c>
      <c r="B268" s="171" t="s">
        <v>1689</v>
      </c>
      <c r="C268" s="171" t="s">
        <v>1689</v>
      </c>
      <c r="D268" s="171" t="s">
        <v>1251</v>
      </c>
      <c r="E268" s="171" t="s">
        <v>668</v>
      </c>
      <c r="F268" s="171" t="s">
        <v>669</v>
      </c>
      <c r="G268" s="171" t="s">
        <v>670</v>
      </c>
      <c r="H268" s="195">
        <v>2.2640000000000002</v>
      </c>
      <c r="I268" s="171" t="s">
        <v>671</v>
      </c>
      <c r="J268" s="57">
        <v>1</v>
      </c>
      <c r="K268" s="172">
        <v>2021</v>
      </c>
      <c r="L268" s="173" t="s">
        <v>1690</v>
      </c>
      <c r="M268" s="173" t="s">
        <v>712</v>
      </c>
      <c r="N268" s="174" t="s">
        <v>1691</v>
      </c>
      <c r="O268" s="171" t="s">
        <v>1692</v>
      </c>
      <c r="P268" s="171" t="s">
        <v>675</v>
      </c>
      <c r="Q268" s="209">
        <v>1979</v>
      </c>
      <c r="R268" s="171">
        <v>6</v>
      </c>
      <c r="S268" s="171"/>
      <c r="T268" s="173"/>
      <c r="U268" s="171"/>
      <c r="V268" s="171"/>
      <c r="W268" s="171"/>
      <c r="X268" s="57">
        <v>0</v>
      </c>
      <c r="Y268" s="172">
        <v>2</v>
      </c>
      <c r="Z268" s="175" t="s">
        <v>1256</v>
      </c>
      <c r="AA268" s="176">
        <v>2021</v>
      </c>
      <c r="AB268" s="176">
        <v>8</v>
      </c>
      <c r="AC268" s="176">
        <v>16</v>
      </c>
      <c r="AD268" s="177" t="b">
        <f>IF(ISBLANK(GroupMember[[#This Row],[1. Identifiant interne d’exploitation agricole*]]),"",IF(ISERROR(MATCH(GroupMember[[#This Row],[1. Identifiant interne d’exploitation agricole*]],CertifiedCrop[1. Identifiant interne d’exploitation agricole*],0)),FALSE,TRUE))</f>
        <v>1</v>
      </c>
      <c r="AE268" s="177" t="b">
        <f>IF(ISBLANK(GroupMember[[#This Row],[1. Identifiant interne d’exploitation agricole*]]),"",IF(ISERROR(MATCH(GroupMember[[#This Row],[1. Identifiant interne d’exploitation agricole*]],FarmUnit[1. Identifiant interne d’exploitation agricole*],0)),FALSE,TRUE))</f>
        <v>1</v>
      </c>
      <c r="AF268" s="178" t="str">
        <f t="shared" si="16"/>
        <v>N'GUESSAN KONAN ALFRED</v>
      </c>
      <c r="AG268" s="179" t="str">
        <f t="shared" si="17"/>
        <v>16/8/2021</v>
      </c>
      <c r="AH268" s="180">
        <f t="shared" si="19"/>
        <v>5</v>
      </c>
      <c r="AI268" s="181">
        <f t="shared" si="18"/>
        <v>0.16666666666666666</v>
      </c>
    </row>
    <row r="269" spans="1:35" ht="15">
      <c r="A269" s="170" t="s">
        <v>1693</v>
      </c>
      <c r="B269" s="171" t="s">
        <v>1693</v>
      </c>
      <c r="C269" s="171" t="s">
        <v>1693</v>
      </c>
      <c r="D269" s="171" t="s">
        <v>1251</v>
      </c>
      <c r="E269" s="171" t="s">
        <v>668</v>
      </c>
      <c r="F269" s="171" t="s">
        <v>669</v>
      </c>
      <c r="G269" s="171" t="s">
        <v>670</v>
      </c>
      <c r="H269" s="195">
        <v>3.2031000000000001</v>
      </c>
      <c r="I269" s="171" t="s">
        <v>671</v>
      </c>
      <c r="J269" s="57">
        <v>1</v>
      </c>
      <c r="K269" s="172">
        <v>2021</v>
      </c>
      <c r="L269" s="173" t="s">
        <v>1694</v>
      </c>
      <c r="M269" s="173" t="s">
        <v>1415</v>
      </c>
      <c r="N269" s="174" t="s">
        <v>1695</v>
      </c>
      <c r="O269" s="171" t="s">
        <v>2574</v>
      </c>
      <c r="P269" s="171" t="s">
        <v>675</v>
      </c>
      <c r="Q269" s="209">
        <v>1985</v>
      </c>
      <c r="R269" s="171">
        <v>7</v>
      </c>
      <c r="S269" s="171"/>
      <c r="T269" s="173"/>
      <c r="U269" s="171"/>
      <c r="V269" s="171"/>
      <c r="W269" s="171"/>
      <c r="X269" s="57">
        <v>0</v>
      </c>
      <c r="Y269" s="172">
        <v>2</v>
      </c>
      <c r="Z269" s="175" t="s">
        <v>1256</v>
      </c>
      <c r="AA269" s="176">
        <v>2021</v>
      </c>
      <c r="AB269" s="176">
        <v>8</v>
      </c>
      <c r="AC269" s="176">
        <v>25</v>
      </c>
      <c r="AD269" s="177" t="b">
        <f>IF(ISBLANK(GroupMember[[#This Row],[1. Identifiant interne d’exploitation agricole*]]),"",IF(ISERROR(MATCH(GroupMember[[#This Row],[1. Identifiant interne d’exploitation agricole*]],CertifiedCrop[1. Identifiant interne d’exploitation agricole*],0)),FALSE,TRUE))</f>
        <v>1</v>
      </c>
      <c r="AE269" s="177" t="b">
        <f>IF(ISBLANK(GroupMember[[#This Row],[1. Identifiant interne d’exploitation agricole*]]),"",IF(ISERROR(MATCH(GroupMember[[#This Row],[1. Identifiant interne d’exploitation agricole*]],FarmUnit[1. Identifiant interne d’exploitation agricole*],0)),FALSE,TRUE))</f>
        <v>1</v>
      </c>
      <c r="AF269" s="178" t="str">
        <f t="shared" si="16"/>
        <v>KOMENAN KOFFI ETIENNE</v>
      </c>
      <c r="AG269" s="179" t="str">
        <f t="shared" si="17"/>
        <v>25/8/2021</v>
      </c>
      <c r="AH269" s="180">
        <f t="shared" si="19"/>
        <v>5</v>
      </c>
      <c r="AI269" s="181">
        <f t="shared" si="18"/>
        <v>0.16666666666666666</v>
      </c>
    </row>
    <row r="270" spans="1:35" ht="15">
      <c r="A270" s="170" t="s">
        <v>1696</v>
      </c>
      <c r="B270" s="171" t="s">
        <v>1696</v>
      </c>
      <c r="C270" s="171" t="s">
        <v>1696</v>
      </c>
      <c r="D270" s="171" t="s">
        <v>1251</v>
      </c>
      <c r="E270" s="171" t="s">
        <v>668</v>
      </c>
      <c r="F270" s="171" t="s">
        <v>669</v>
      </c>
      <c r="G270" s="171" t="s">
        <v>670</v>
      </c>
      <c r="H270" s="195">
        <v>2.4735</v>
      </c>
      <c r="I270" s="171" t="s">
        <v>671</v>
      </c>
      <c r="J270" s="57">
        <v>1</v>
      </c>
      <c r="K270" s="172">
        <v>2021</v>
      </c>
      <c r="L270" s="173" t="s">
        <v>1697</v>
      </c>
      <c r="M270" s="173" t="s">
        <v>998</v>
      </c>
      <c r="N270" s="174" t="s">
        <v>1698</v>
      </c>
      <c r="O270" s="171" t="s">
        <v>1699</v>
      </c>
      <c r="P270" s="171" t="s">
        <v>675</v>
      </c>
      <c r="Q270" s="209">
        <v>1966</v>
      </c>
      <c r="R270" s="171">
        <v>5</v>
      </c>
      <c r="S270" s="171"/>
      <c r="T270" s="173"/>
      <c r="U270" s="171"/>
      <c r="V270" s="171"/>
      <c r="W270" s="171"/>
      <c r="X270" s="57">
        <v>0</v>
      </c>
      <c r="Y270" s="172">
        <v>2</v>
      </c>
      <c r="Z270" s="175" t="s">
        <v>1256</v>
      </c>
      <c r="AA270" s="176">
        <v>2021</v>
      </c>
      <c r="AB270" s="176">
        <v>8</v>
      </c>
      <c r="AC270" s="176">
        <v>17</v>
      </c>
      <c r="AD270" s="177" t="b">
        <f>IF(ISBLANK(GroupMember[[#This Row],[1. Identifiant interne d’exploitation agricole*]]),"",IF(ISERROR(MATCH(GroupMember[[#This Row],[1. Identifiant interne d’exploitation agricole*]],CertifiedCrop[1. Identifiant interne d’exploitation agricole*],0)),FALSE,TRUE))</f>
        <v>1</v>
      </c>
      <c r="AE270" s="177" t="b">
        <f>IF(ISBLANK(GroupMember[[#This Row],[1. Identifiant interne d’exploitation agricole*]]),"",IF(ISERROR(MATCH(GroupMember[[#This Row],[1. Identifiant interne d’exploitation agricole*]],FarmUnit[1. Identifiant interne d’exploitation agricole*],0)),FALSE,TRUE))</f>
        <v>1</v>
      </c>
      <c r="AF270" s="178" t="str">
        <f t="shared" si="16"/>
        <v>GNAN MAURICE</v>
      </c>
      <c r="AG270" s="179" t="str">
        <f t="shared" si="17"/>
        <v>17/8/2021</v>
      </c>
      <c r="AH270" s="180">
        <f t="shared" si="19"/>
        <v>4</v>
      </c>
      <c r="AI270" s="181">
        <f t="shared" si="18"/>
        <v>0.16666666666666666</v>
      </c>
    </row>
    <row r="271" spans="1:35" ht="15">
      <c r="A271" s="170" t="s">
        <v>1700</v>
      </c>
      <c r="B271" s="171" t="s">
        <v>1700</v>
      </c>
      <c r="C271" s="171" t="s">
        <v>1700</v>
      </c>
      <c r="D271" s="171" t="s">
        <v>1251</v>
      </c>
      <c r="E271" s="171" t="s">
        <v>668</v>
      </c>
      <c r="F271" s="171" t="s">
        <v>669</v>
      </c>
      <c r="G271" s="171" t="s">
        <v>670</v>
      </c>
      <c r="H271" s="195">
        <v>6.8883999999999999</v>
      </c>
      <c r="I271" s="171" t="s">
        <v>671</v>
      </c>
      <c r="J271" s="57">
        <v>1</v>
      </c>
      <c r="K271" s="172">
        <v>2021</v>
      </c>
      <c r="L271" s="173" t="s">
        <v>1432</v>
      </c>
      <c r="M271" s="173" t="s">
        <v>1403</v>
      </c>
      <c r="N271" s="174" t="s">
        <v>1701</v>
      </c>
      <c r="O271" s="171" t="s">
        <v>1702</v>
      </c>
      <c r="P271" s="171" t="s">
        <v>675</v>
      </c>
      <c r="Q271" s="209">
        <v>1960</v>
      </c>
      <c r="R271" s="171">
        <v>3</v>
      </c>
      <c r="S271" s="171"/>
      <c r="T271" s="173"/>
      <c r="U271" s="171"/>
      <c r="V271" s="171"/>
      <c r="W271" s="171"/>
      <c r="X271" s="57">
        <v>3</v>
      </c>
      <c r="Y271" s="172">
        <v>5</v>
      </c>
      <c r="Z271" s="175" t="s">
        <v>1256</v>
      </c>
      <c r="AA271" s="176">
        <v>2021</v>
      </c>
      <c r="AB271" s="176">
        <v>7</v>
      </c>
      <c r="AC271" s="176">
        <v>5</v>
      </c>
      <c r="AD271" s="177" t="b">
        <f>IF(ISBLANK(GroupMember[[#This Row],[1. Identifiant interne d’exploitation agricole*]]),"",IF(ISERROR(MATCH(GroupMember[[#This Row],[1. Identifiant interne d’exploitation agricole*]],CertifiedCrop[1. Identifiant interne d’exploitation agricole*],0)),FALSE,TRUE))</f>
        <v>1</v>
      </c>
      <c r="AE271" s="177" t="b">
        <f>IF(ISBLANK(GroupMember[[#This Row],[1. Identifiant interne d’exploitation agricole*]]),"",IF(ISERROR(MATCH(GroupMember[[#This Row],[1. Identifiant interne d’exploitation agricole*]],FarmUnit[1. Identifiant interne d’exploitation agricole*],0)),FALSE,TRUE))</f>
        <v>1</v>
      </c>
      <c r="AF271" s="178" t="str">
        <f t="shared" si="16"/>
        <v>MANH ANDRE</v>
      </c>
      <c r="AG271" s="179" t="str">
        <f t="shared" si="17"/>
        <v>5/7/2021</v>
      </c>
      <c r="AH271" s="180">
        <f t="shared" si="19"/>
        <v>5</v>
      </c>
      <c r="AI271" s="181">
        <f t="shared" si="18"/>
        <v>3.4166666666666665</v>
      </c>
    </row>
    <row r="272" spans="1:35" ht="15">
      <c r="A272" s="170" t="s">
        <v>1703</v>
      </c>
      <c r="B272" s="171" t="s">
        <v>1703</v>
      </c>
      <c r="C272" s="171" t="s">
        <v>1703</v>
      </c>
      <c r="D272" s="171" t="s">
        <v>1251</v>
      </c>
      <c r="E272" s="171" t="s">
        <v>668</v>
      </c>
      <c r="F272" s="171" t="s">
        <v>669</v>
      </c>
      <c r="G272" s="171" t="s">
        <v>670</v>
      </c>
      <c r="H272" s="195">
        <v>2.1223000000000001</v>
      </c>
      <c r="I272" s="171" t="s">
        <v>671</v>
      </c>
      <c r="J272" s="57">
        <v>1</v>
      </c>
      <c r="K272" s="172">
        <v>2021</v>
      </c>
      <c r="L272" s="173" t="s">
        <v>1377</v>
      </c>
      <c r="M272" s="173" t="s">
        <v>1704</v>
      </c>
      <c r="N272" s="174" t="s">
        <v>1705</v>
      </c>
      <c r="O272" s="171" t="s">
        <v>1706</v>
      </c>
      <c r="P272" s="171" t="s">
        <v>675</v>
      </c>
      <c r="Q272" s="209">
        <v>1970</v>
      </c>
      <c r="R272" s="171">
        <v>3</v>
      </c>
      <c r="S272" s="171"/>
      <c r="T272" s="173"/>
      <c r="U272" s="171"/>
      <c r="V272" s="171"/>
      <c r="W272" s="171"/>
      <c r="X272" s="57">
        <v>0</v>
      </c>
      <c r="Y272" s="172">
        <v>2</v>
      </c>
      <c r="Z272" s="175" t="s">
        <v>1256</v>
      </c>
      <c r="AA272" s="176">
        <v>2021</v>
      </c>
      <c r="AB272" s="176">
        <v>7</v>
      </c>
      <c r="AC272" s="176">
        <v>13</v>
      </c>
      <c r="AD272" s="177" t="b">
        <f>IF(ISBLANK(GroupMember[[#This Row],[1. Identifiant interne d’exploitation agricole*]]),"",IF(ISERROR(MATCH(GroupMember[[#This Row],[1. Identifiant interne d’exploitation agricole*]],CertifiedCrop[1. Identifiant interne d’exploitation agricole*],0)),FALSE,TRUE))</f>
        <v>1</v>
      </c>
      <c r="AE272" s="177" t="b">
        <f>IF(ISBLANK(GroupMember[[#This Row],[1. Identifiant interne d’exploitation agricole*]]),"",IF(ISERROR(MATCH(GroupMember[[#This Row],[1. Identifiant interne d’exploitation agricole*]],FarmUnit[1. Identifiant interne d’exploitation agricole*],0)),FALSE,TRUE))</f>
        <v>1</v>
      </c>
      <c r="AF272" s="178" t="str">
        <f t="shared" si="16"/>
        <v>DION JADEL</v>
      </c>
      <c r="AG272" s="179" t="str">
        <f t="shared" si="17"/>
        <v>13/7/2021</v>
      </c>
      <c r="AH272" s="180">
        <f t="shared" si="19"/>
        <v>4</v>
      </c>
      <c r="AI272" s="181">
        <f t="shared" si="18"/>
        <v>0.16666666666666666</v>
      </c>
    </row>
    <row r="273" spans="1:35" ht="15">
      <c r="A273" s="170" t="s">
        <v>1707</v>
      </c>
      <c r="B273" s="171" t="s">
        <v>1707</v>
      </c>
      <c r="C273" s="171" t="s">
        <v>1707</v>
      </c>
      <c r="D273" s="171" t="s">
        <v>1251</v>
      </c>
      <c r="E273" s="171" t="s">
        <v>668</v>
      </c>
      <c r="F273" s="171" t="s">
        <v>669</v>
      </c>
      <c r="G273" s="171" t="s">
        <v>670</v>
      </c>
      <c r="H273" s="195">
        <v>2.1265999999999998</v>
      </c>
      <c r="I273" s="171" t="s">
        <v>671</v>
      </c>
      <c r="J273" s="57">
        <v>1</v>
      </c>
      <c r="K273" s="172">
        <v>2021</v>
      </c>
      <c r="L273" s="173" t="s">
        <v>1708</v>
      </c>
      <c r="M273" s="173" t="s">
        <v>1709</v>
      </c>
      <c r="N273" s="174" t="s">
        <v>1710</v>
      </c>
      <c r="O273" s="171" t="s">
        <v>1711</v>
      </c>
      <c r="P273" s="171" t="s">
        <v>720</v>
      </c>
      <c r="Q273" s="209">
        <v>1981</v>
      </c>
      <c r="R273" s="171">
        <v>1</v>
      </c>
      <c r="S273" s="171"/>
      <c r="T273" s="173"/>
      <c r="U273" s="171"/>
      <c r="V273" s="171"/>
      <c r="W273" s="171"/>
      <c r="X273" s="57">
        <v>0</v>
      </c>
      <c r="Y273" s="172">
        <v>2</v>
      </c>
      <c r="Z273" s="175" t="s">
        <v>1256</v>
      </c>
      <c r="AA273" s="176">
        <v>2021</v>
      </c>
      <c r="AB273" s="176">
        <v>8</v>
      </c>
      <c r="AC273" s="176">
        <v>20</v>
      </c>
      <c r="AD273" s="177" t="b">
        <f>IF(ISBLANK(GroupMember[[#This Row],[1. Identifiant interne d’exploitation agricole*]]),"",IF(ISERROR(MATCH(GroupMember[[#This Row],[1. Identifiant interne d’exploitation agricole*]],CertifiedCrop[1. Identifiant interne d’exploitation agricole*],0)),FALSE,TRUE))</f>
        <v>1</v>
      </c>
      <c r="AE273" s="177" t="b">
        <f>IF(ISBLANK(GroupMember[[#This Row],[1. Identifiant interne d’exploitation agricole*]]),"",IF(ISERROR(MATCH(GroupMember[[#This Row],[1. Identifiant interne d’exploitation agricole*]],FarmUnit[1. Identifiant interne d’exploitation agricole*],0)),FALSE,TRUE))</f>
        <v>1</v>
      </c>
      <c r="AF273" s="178" t="str">
        <f t="shared" si="16"/>
        <v>GOGBE LUICIE</v>
      </c>
      <c r="AG273" s="179" t="str">
        <f t="shared" si="17"/>
        <v>20/8/2021</v>
      </c>
      <c r="AH273" s="180">
        <f t="shared" si="19"/>
        <v>4</v>
      </c>
      <c r="AI273" s="181">
        <f t="shared" si="18"/>
        <v>0.16666666666666666</v>
      </c>
    </row>
    <row r="274" spans="1:35" ht="15">
      <c r="A274" s="170" t="s">
        <v>1712</v>
      </c>
      <c r="B274" s="171" t="s">
        <v>1712</v>
      </c>
      <c r="C274" s="171" t="s">
        <v>1712</v>
      </c>
      <c r="D274" s="171" t="s">
        <v>1251</v>
      </c>
      <c r="E274" s="171" t="s">
        <v>668</v>
      </c>
      <c r="F274" s="171" t="s">
        <v>669</v>
      </c>
      <c r="G274" s="171" t="s">
        <v>670</v>
      </c>
      <c r="H274" s="195">
        <v>1.8180000000000001</v>
      </c>
      <c r="I274" s="171" t="s">
        <v>671</v>
      </c>
      <c r="J274" s="57">
        <v>1</v>
      </c>
      <c r="K274" s="172">
        <v>2021</v>
      </c>
      <c r="L274" s="173" t="s">
        <v>1713</v>
      </c>
      <c r="M274" s="173" t="s">
        <v>1714</v>
      </c>
      <c r="N274" s="174" t="s">
        <v>1715</v>
      </c>
      <c r="O274" s="171" t="s">
        <v>1716</v>
      </c>
      <c r="P274" s="171" t="s">
        <v>675</v>
      </c>
      <c r="Q274" s="209">
        <v>1940</v>
      </c>
      <c r="R274" s="171">
        <v>7</v>
      </c>
      <c r="S274" s="171"/>
      <c r="T274" s="173"/>
      <c r="U274" s="171"/>
      <c r="V274" s="171"/>
      <c r="W274" s="171"/>
      <c r="X274" s="57">
        <v>0</v>
      </c>
      <c r="Y274" s="172">
        <v>2</v>
      </c>
      <c r="Z274" s="175" t="s">
        <v>1256</v>
      </c>
      <c r="AA274" s="176">
        <v>2021</v>
      </c>
      <c r="AB274" s="176">
        <v>8</v>
      </c>
      <c r="AC274" s="176">
        <v>13</v>
      </c>
      <c r="AD274" s="177" t="b">
        <f>IF(ISBLANK(GroupMember[[#This Row],[1. Identifiant interne d’exploitation agricole*]]),"",IF(ISERROR(MATCH(GroupMember[[#This Row],[1. Identifiant interne d’exploitation agricole*]],CertifiedCrop[1. Identifiant interne d’exploitation agricole*],0)),FALSE,TRUE))</f>
        <v>1</v>
      </c>
      <c r="AE274" s="177" t="b">
        <f>IF(ISBLANK(GroupMember[[#This Row],[1. Identifiant interne d’exploitation agricole*]]),"",IF(ISERROR(MATCH(GroupMember[[#This Row],[1. Identifiant interne d’exploitation agricole*]],FarmUnit[1. Identifiant interne d’exploitation agricole*],0)),FALSE,TRUE))</f>
        <v>1</v>
      </c>
      <c r="AF274" s="178" t="str">
        <f t="shared" si="16"/>
        <v>GONDO  ALPHONSE</v>
      </c>
      <c r="AG274" s="179" t="str">
        <f t="shared" si="17"/>
        <v>13/8/2021</v>
      </c>
      <c r="AH274" s="180">
        <f t="shared" si="19"/>
        <v>3</v>
      </c>
      <c r="AI274" s="181">
        <f t="shared" si="18"/>
        <v>0.16666666666666666</v>
      </c>
    </row>
    <row r="275" spans="1:35" ht="15">
      <c r="A275" s="170" t="s">
        <v>1717</v>
      </c>
      <c r="B275" s="171" t="s">
        <v>1717</v>
      </c>
      <c r="C275" s="171" t="s">
        <v>1717</v>
      </c>
      <c r="D275" s="171" t="s">
        <v>1251</v>
      </c>
      <c r="E275" s="171" t="s">
        <v>668</v>
      </c>
      <c r="F275" s="171" t="s">
        <v>669</v>
      </c>
      <c r="G275" s="171" t="s">
        <v>670</v>
      </c>
      <c r="H275" s="195">
        <v>2.0286</v>
      </c>
      <c r="I275" s="171" t="s">
        <v>671</v>
      </c>
      <c r="J275" s="57">
        <v>1</v>
      </c>
      <c r="K275" s="172">
        <v>2021</v>
      </c>
      <c r="L275" s="173" t="s">
        <v>1718</v>
      </c>
      <c r="M275" s="173" t="s">
        <v>1532</v>
      </c>
      <c r="N275" s="174" t="s">
        <v>1719</v>
      </c>
      <c r="O275" s="171" t="s">
        <v>1720</v>
      </c>
      <c r="P275" s="171" t="s">
        <v>675</v>
      </c>
      <c r="Q275" s="209">
        <v>1976</v>
      </c>
      <c r="R275" s="171">
        <v>8</v>
      </c>
      <c r="S275" s="171"/>
      <c r="T275" s="173"/>
      <c r="U275" s="171"/>
      <c r="V275" s="171"/>
      <c r="W275" s="171"/>
      <c r="X275" s="57">
        <v>0</v>
      </c>
      <c r="Y275" s="172">
        <v>2</v>
      </c>
      <c r="Z275" s="175" t="s">
        <v>1256</v>
      </c>
      <c r="AA275" s="176">
        <v>2021</v>
      </c>
      <c r="AB275" s="176">
        <v>7</v>
      </c>
      <c r="AC275" s="176">
        <v>16</v>
      </c>
      <c r="AD275" s="177" t="b">
        <f>IF(ISBLANK(GroupMember[[#This Row],[1. Identifiant interne d’exploitation agricole*]]),"",IF(ISERROR(MATCH(GroupMember[[#This Row],[1. Identifiant interne d’exploitation agricole*]],CertifiedCrop[1. Identifiant interne d’exploitation agricole*],0)),FALSE,TRUE))</f>
        <v>1</v>
      </c>
      <c r="AE275" s="177" t="b">
        <f>IF(ISBLANK(GroupMember[[#This Row],[1. Identifiant interne d’exploitation agricole*]]),"",IF(ISERROR(MATCH(GroupMember[[#This Row],[1. Identifiant interne d’exploitation agricole*]],FarmUnit[1. Identifiant interne d’exploitation agricole*],0)),FALSE,TRUE))</f>
        <v>1</v>
      </c>
      <c r="AF275" s="178" t="str">
        <f t="shared" si="16"/>
        <v>KOUE BLE MATHIAS</v>
      </c>
      <c r="AG275" s="179" t="str">
        <f t="shared" si="17"/>
        <v>16/7/2021</v>
      </c>
      <c r="AH275" s="180">
        <f t="shared" si="19"/>
        <v>5</v>
      </c>
      <c r="AI275" s="181">
        <f t="shared" si="18"/>
        <v>0.16666666666666666</v>
      </c>
    </row>
    <row r="276" spans="1:35" ht="15">
      <c r="A276" s="170" t="s">
        <v>1721</v>
      </c>
      <c r="B276" s="171" t="s">
        <v>1721</v>
      </c>
      <c r="C276" s="171" t="s">
        <v>1721</v>
      </c>
      <c r="D276" s="171" t="s">
        <v>1251</v>
      </c>
      <c r="E276" s="171" t="s">
        <v>668</v>
      </c>
      <c r="F276" s="171" t="s">
        <v>669</v>
      </c>
      <c r="G276" s="171" t="s">
        <v>670</v>
      </c>
      <c r="H276" s="195">
        <v>2.9721000000000002</v>
      </c>
      <c r="I276" s="171" t="s">
        <v>671</v>
      </c>
      <c r="J276" s="57">
        <v>1</v>
      </c>
      <c r="K276" s="172">
        <v>2021</v>
      </c>
      <c r="L276" s="173" t="s">
        <v>1722</v>
      </c>
      <c r="M276" s="173" t="s">
        <v>1723</v>
      </c>
      <c r="N276" s="174" t="s">
        <v>1724</v>
      </c>
      <c r="O276" s="171" t="s">
        <v>1725</v>
      </c>
      <c r="P276" s="171" t="s">
        <v>675</v>
      </c>
      <c r="Q276" s="209">
        <v>1974</v>
      </c>
      <c r="R276" s="171">
        <v>8</v>
      </c>
      <c r="S276" s="171"/>
      <c r="T276" s="173"/>
      <c r="U276" s="171"/>
      <c r="V276" s="171"/>
      <c r="W276" s="171"/>
      <c r="X276" s="57">
        <v>0</v>
      </c>
      <c r="Y276" s="172">
        <v>2</v>
      </c>
      <c r="Z276" s="175" t="s">
        <v>1256</v>
      </c>
      <c r="AA276" s="176">
        <v>2021</v>
      </c>
      <c r="AB276" s="176">
        <v>8</v>
      </c>
      <c r="AC276" s="176">
        <v>17</v>
      </c>
      <c r="AD276" s="177" t="b">
        <f>IF(ISBLANK(GroupMember[[#This Row],[1. Identifiant interne d’exploitation agricole*]]),"",IF(ISERROR(MATCH(GroupMember[[#This Row],[1. Identifiant interne d’exploitation agricole*]],CertifiedCrop[1. Identifiant interne d’exploitation agricole*],0)),FALSE,TRUE))</f>
        <v>1</v>
      </c>
      <c r="AE276" s="177" t="b">
        <f>IF(ISBLANK(GroupMember[[#This Row],[1. Identifiant interne d’exploitation agricole*]]),"",IF(ISERROR(MATCH(GroupMember[[#This Row],[1. Identifiant interne d’exploitation agricole*]],FarmUnit[1. Identifiant interne d’exploitation agricole*],0)),FALSE,TRUE))</f>
        <v>1</v>
      </c>
      <c r="AF276" s="178" t="str">
        <f t="shared" si="16"/>
        <v>GOH ZOGBIN BLAISE</v>
      </c>
      <c r="AG276" s="179" t="str">
        <f t="shared" si="17"/>
        <v>17/8/2021</v>
      </c>
      <c r="AH276" s="180">
        <f t="shared" si="19"/>
        <v>4</v>
      </c>
      <c r="AI276" s="181">
        <f t="shared" si="18"/>
        <v>0.16666666666666666</v>
      </c>
    </row>
    <row r="277" spans="1:35" ht="15">
      <c r="A277" s="170" t="s">
        <v>1726</v>
      </c>
      <c r="B277" s="171" t="s">
        <v>1726</v>
      </c>
      <c r="C277" s="171" t="s">
        <v>1726</v>
      </c>
      <c r="D277" s="171" t="s">
        <v>1251</v>
      </c>
      <c r="E277" s="171" t="s">
        <v>668</v>
      </c>
      <c r="F277" s="171" t="s">
        <v>669</v>
      </c>
      <c r="G277" s="171" t="s">
        <v>670</v>
      </c>
      <c r="H277" s="195">
        <v>3.0977999999999999</v>
      </c>
      <c r="I277" s="171" t="s">
        <v>671</v>
      </c>
      <c r="J277" s="57">
        <v>1</v>
      </c>
      <c r="K277" s="172">
        <v>2021</v>
      </c>
      <c r="L277" s="173" t="s">
        <v>1727</v>
      </c>
      <c r="M277" s="173" t="s">
        <v>1728</v>
      </c>
      <c r="N277" s="174" t="s">
        <v>1729</v>
      </c>
      <c r="O277" s="171" t="s">
        <v>2580</v>
      </c>
      <c r="P277" s="171" t="s">
        <v>675</v>
      </c>
      <c r="Q277" s="209">
        <v>1980</v>
      </c>
      <c r="R277" s="171">
        <v>7</v>
      </c>
      <c r="S277" s="171"/>
      <c r="T277" s="173"/>
      <c r="U277" s="171"/>
      <c r="V277" s="171"/>
      <c r="W277" s="171"/>
      <c r="X277" s="57">
        <v>0</v>
      </c>
      <c r="Y277" s="172">
        <v>2</v>
      </c>
      <c r="Z277" s="175" t="s">
        <v>1256</v>
      </c>
      <c r="AA277" s="176">
        <v>2021</v>
      </c>
      <c r="AB277" s="176">
        <v>7</v>
      </c>
      <c r="AC277" s="176">
        <v>20</v>
      </c>
      <c r="AD277" s="177" t="b">
        <f>IF(ISBLANK(GroupMember[[#This Row],[1. Identifiant interne d’exploitation agricole*]]),"",IF(ISERROR(MATCH(GroupMember[[#This Row],[1. Identifiant interne d’exploitation agricole*]],CertifiedCrop[1. Identifiant interne d’exploitation agricole*],0)),FALSE,TRUE))</f>
        <v>1</v>
      </c>
      <c r="AE277" s="177" t="b">
        <f>IF(ISBLANK(GroupMember[[#This Row],[1. Identifiant interne d’exploitation agricole*]]),"",IF(ISERROR(MATCH(GroupMember[[#This Row],[1. Identifiant interne d’exploitation agricole*]],FarmUnit[1. Identifiant interne d’exploitation agricole*],0)),FALSE,TRUE))</f>
        <v>1</v>
      </c>
      <c r="AF277" s="178" t="str">
        <f t="shared" si="16"/>
        <v>GOMBA DION ENNEST</v>
      </c>
      <c r="AG277" s="179" t="str">
        <f t="shared" si="17"/>
        <v>20/7/2021</v>
      </c>
      <c r="AH277" s="180">
        <f t="shared" si="19"/>
        <v>5</v>
      </c>
      <c r="AI277" s="181">
        <f t="shared" si="18"/>
        <v>0.16666666666666666</v>
      </c>
    </row>
    <row r="278" spans="1:35" ht="15">
      <c r="A278" s="170" t="s">
        <v>1730</v>
      </c>
      <c r="B278" s="171" t="s">
        <v>1730</v>
      </c>
      <c r="C278" s="171" t="s">
        <v>1730</v>
      </c>
      <c r="D278" s="171" t="s">
        <v>1251</v>
      </c>
      <c r="E278" s="171" t="s">
        <v>668</v>
      </c>
      <c r="F278" s="171" t="s">
        <v>669</v>
      </c>
      <c r="G278" s="171" t="s">
        <v>670</v>
      </c>
      <c r="H278" s="195">
        <v>1.966</v>
      </c>
      <c r="I278" s="171" t="s">
        <v>671</v>
      </c>
      <c r="J278" s="57">
        <v>1</v>
      </c>
      <c r="K278" s="172">
        <v>2021</v>
      </c>
      <c r="L278" s="173" t="s">
        <v>1356</v>
      </c>
      <c r="M278" s="173" t="s">
        <v>1731</v>
      </c>
      <c r="N278" s="174" t="s">
        <v>1732</v>
      </c>
      <c r="O278" s="171" t="s">
        <v>1733</v>
      </c>
      <c r="P278" s="171" t="s">
        <v>675</v>
      </c>
      <c r="Q278" s="209">
        <v>1989</v>
      </c>
      <c r="R278" s="171">
        <v>5</v>
      </c>
      <c r="S278" s="171"/>
      <c r="T278" s="173"/>
      <c r="U278" s="171"/>
      <c r="V278" s="171"/>
      <c r="W278" s="171"/>
      <c r="X278" s="57">
        <v>0</v>
      </c>
      <c r="Y278" s="172">
        <v>2</v>
      </c>
      <c r="Z278" s="175" t="s">
        <v>1256</v>
      </c>
      <c r="AA278" s="176">
        <v>2021</v>
      </c>
      <c r="AB278" s="176">
        <v>8</v>
      </c>
      <c r="AC278" s="176">
        <v>23</v>
      </c>
      <c r="AD278" s="177" t="b">
        <f>IF(ISBLANK(GroupMember[[#This Row],[1. Identifiant interne d’exploitation agricole*]]),"",IF(ISERROR(MATCH(GroupMember[[#This Row],[1. Identifiant interne d’exploitation agricole*]],CertifiedCrop[1. Identifiant interne d’exploitation agricole*],0)),FALSE,TRUE))</f>
        <v>1</v>
      </c>
      <c r="AE278" s="177" t="b">
        <f>IF(ISBLANK(GroupMember[[#This Row],[1. Identifiant interne d’exploitation agricole*]]),"",IF(ISERROR(MATCH(GroupMember[[#This Row],[1. Identifiant interne d’exploitation agricole*]],FarmUnit[1. Identifiant interne d’exploitation agricole*],0)),FALSE,TRUE))</f>
        <v>1</v>
      </c>
      <c r="AF278" s="178" t="str">
        <f t="shared" si="16"/>
        <v>KPAN ERIC</v>
      </c>
      <c r="AG278" s="179" t="str">
        <f t="shared" si="17"/>
        <v>23/8/2021</v>
      </c>
      <c r="AH278" s="180">
        <f t="shared" si="19"/>
        <v>4</v>
      </c>
      <c r="AI278" s="181">
        <f t="shared" si="18"/>
        <v>0.16666666666666666</v>
      </c>
    </row>
    <row r="279" spans="1:35" ht="15">
      <c r="A279" s="170" t="s">
        <v>1734</v>
      </c>
      <c r="B279" s="171" t="s">
        <v>1734</v>
      </c>
      <c r="C279" s="171" t="s">
        <v>1734</v>
      </c>
      <c r="D279" s="171" t="s">
        <v>1251</v>
      </c>
      <c r="E279" s="171" t="s">
        <v>668</v>
      </c>
      <c r="F279" s="171" t="s">
        <v>669</v>
      </c>
      <c r="G279" s="171" t="s">
        <v>670</v>
      </c>
      <c r="H279" s="195">
        <v>2.9203999999999999</v>
      </c>
      <c r="I279" s="171" t="s">
        <v>671</v>
      </c>
      <c r="J279" s="57">
        <v>1</v>
      </c>
      <c r="K279" s="172">
        <v>2021</v>
      </c>
      <c r="L279" s="173" t="s">
        <v>1735</v>
      </c>
      <c r="M279" s="173" t="s">
        <v>1736</v>
      </c>
      <c r="N279" s="174" t="s">
        <v>1737</v>
      </c>
      <c r="O279" s="171" t="s">
        <v>1738</v>
      </c>
      <c r="P279" s="171" t="s">
        <v>675</v>
      </c>
      <c r="Q279" s="209">
        <v>1957</v>
      </c>
      <c r="R279" s="171">
        <v>4</v>
      </c>
      <c r="S279" s="171"/>
      <c r="T279" s="173"/>
      <c r="U279" s="171"/>
      <c r="V279" s="171"/>
      <c r="W279" s="171"/>
      <c r="X279" s="57">
        <v>0</v>
      </c>
      <c r="Y279" s="172">
        <v>2</v>
      </c>
      <c r="Z279" s="175" t="s">
        <v>1256</v>
      </c>
      <c r="AA279" s="176">
        <v>2021</v>
      </c>
      <c r="AB279" s="176">
        <v>8</v>
      </c>
      <c r="AC279" s="176">
        <v>4</v>
      </c>
      <c r="AD279" s="177" t="b">
        <f>IF(ISBLANK(GroupMember[[#This Row],[1. Identifiant interne d’exploitation agricole*]]),"",IF(ISERROR(MATCH(GroupMember[[#This Row],[1. Identifiant interne d’exploitation agricole*]],CertifiedCrop[1. Identifiant interne d’exploitation agricole*],0)),FALSE,TRUE))</f>
        <v>1</v>
      </c>
      <c r="AE279" s="177" t="b">
        <f>IF(ISBLANK(GroupMember[[#This Row],[1. Identifiant interne d’exploitation agricole*]]),"",IF(ISERROR(MATCH(GroupMember[[#This Row],[1. Identifiant interne d’exploitation agricole*]],FarmUnit[1. Identifiant interne d’exploitation agricole*],0)),FALSE,TRUE))</f>
        <v>1</v>
      </c>
      <c r="AF279" s="178" t="str">
        <f t="shared" si="16"/>
        <v>OULAI  SINGBEU</v>
      </c>
      <c r="AG279" s="179" t="str">
        <f t="shared" si="17"/>
        <v>4/8/2021</v>
      </c>
      <c r="AH279" s="180">
        <f t="shared" si="19"/>
        <v>3</v>
      </c>
      <c r="AI279" s="181">
        <f t="shared" si="18"/>
        <v>0.16666666666666666</v>
      </c>
    </row>
    <row r="280" spans="1:35" ht="15">
      <c r="A280" s="170" t="s">
        <v>1739</v>
      </c>
      <c r="B280" s="171" t="s">
        <v>1739</v>
      </c>
      <c r="C280" s="171" t="s">
        <v>1739</v>
      </c>
      <c r="D280" s="171" t="s">
        <v>1251</v>
      </c>
      <c r="E280" s="171" t="s">
        <v>668</v>
      </c>
      <c r="F280" s="171" t="s">
        <v>669</v>
      </c>
      <c r="G280" s="171" t="s">
        <v>670</v>
      </c>
      <c r="H280" s="195">
        <v>2.0807000000000002</v>
      </c>
      <c r="I280" s="171" t="s">
        <v>671</v>
      </c>
      <c r="J280" s="57">
        <v>1</v>
      </c>
      <c r="K280" s="172">
        <v>2021</v>
      </c>
      <c r="L280" s="173" t="s">
        <v>1740</v>
      </c>
      <c r="M280" s="173" t="s">
        <v>1137</v>
      </c>
      <c r="N280" s="174" t="s">
        <v>1741</v>
      </c>
      <c r="O280" s="171" t="s">
        <v>2575</v>
      </c>
      <c r="P280" s="171" t="s">
        <v>675</v>
      </c>
      <c r="Q280" s="209">
        <v>1982</v>
      </c>
      <c r="R280" s="171">
        <v>5</v>
      </c>
      <c r="S280" s="171"/>
      <c r="T280" s="173"/>
      <c r="U280" s="171"/>
      <c r="V280" s="171"/>
      <c r="W280" s="171"/>
      <c r="X280" s="57">
        <v>0</v>
      </c>
      <c r="Y280" s="172">
        <v>2</v>
      </c>
      <c r="Z280" s="175" t="s">
        <v>1256</v>
      </c>
      <c r="AA280" s="176">
        <v>2021</v>
      </c>
      <c r="AB280" s="176">
        <v>7</v>
      </c>
      <c r="AC280" s="176">
        <v>27</v>
      </c>
      <c r="AD280" s="177" t="b">
        <f>IF(ISBLANK(GroupMember[[#This Row],[1. Identifiant interne d’exploitation agricole*]]),"",IF(ISERROR(MATCH(GroupMember[[#This Row],[1. Identifiant interne d’exploitation agricole*]],CertifiedCrop[1. Identifiant interne d’exploitation agricole*],0)),FALSE,TRUE))</f>
        <v>1</v>
      </c>
      <c r="AE280" s="177" t="b">
        <f>IF(ISBLANK(GroupMember[[#This Row],[1. Identifiant interne d’exploitation agricole*]]),"",IF(ISERROR(MATCH(GroupMember[[#This Row],[1. Identifiant interne d’exploitation agricole*]],FarmUnit[1. Identifiant interne d’exploitation agricole*],0)),FALSE,TRUE))</f>
        <v>1</v>
      </c>
      <c r="AF280" s="178" t="str">
        <f t="shared" si="16"/>
        <v>OUATTARA  YACOUBA</v>
      </c>
      <c r="AG280" s="179" t="str">
        <f t="shared" si="17"/>
        <v>27/7/2021</v>
      </c>
      <c r="AH280" s="180">
        <f t="shared" si="19"/>
        <v>6</v>
      </c>
      <c r="AI280" s="181">
        <f t="shared" si="18"/>
        <v>0.16666666666666666</v>
      </c>
    </row>
    <row r="281" spans="1:35" ht="15">
      <c r="A281" s="170" t="s">
        <v>1742</v>
      </c>
      <c r="B281" s="171" t="s">
        <v>1742</v>
      </c>
      <c r="C281" s="171" t="s">
        <v>1742</v>
      </c>
      <c r="D281" s="171" t="s">
        <v>1251</v>
      </c>
      <c r="E281" s="171" t="s">
        <v>668</v>
      </c>
      <c r="F281" s="171" t="s">
        <v>669</v>
      </c>
      <c r="G281" s="171" t="s">
        <v>670</v>
      </c>
      <c r="H281" s="195">
        <v>1.8479999999999999</v>
      </c>
      <c r="I281" s="171" t="s">
        <v>671</v>
      </c>
      <c r="J281" s="57">
        <v>1</v>
      </c>
      <c r="K281" s="172">
        <v>2021</v>
      </c>
      <c r="L281" s="173" t="s">
        <v>1743</v>
      </c>
      <c r="M281" s="173" t="s">
        <v>1744</v>
      </c>
      <c r="N281" s="174" t="s">
        <v>1745</v>
      </c>
      <c r="O281" s="57" t="s">
        <v>1847</v>
      </c>
      <c r="P281" s="171" t="s">
        <v>675</v>
      </c>
      <c r="Q281" s="209">
        <v>1992</v>
      </c>
      <c r="R281" s="171">
        <v>3</v>
      </c>
      <c r="S281" s="171"/>
      <c r="T281" s="173"/>
      <c r="U281" s="171"/>
      <c r="V281" s="171"/>
      <c r="W281" s="171"/>
      <c r="X281" s="57">
        <v>0</v>
      </c>
      <c r="Y281" s="172">
        <v>2</v>
      </c>
      <c r="Z281" s="175" t="s">
        <v>1256</v>
      </c>
      <c r="AA281" s="176">
        <v>2021</v>
      </c>
      <c r="AB281" s="176">
        <v>8</v>
      </c>
      <c r="AC281" s="176">
        <v>23</v>
      </c>
      <c r="AD281" s="177" t="b">
        <f>IF(ISBLANK(GroupMember[[#This Row],[1. Identifiant interne d’exploitation agricole*]]),"",IF(ISERROR(MATCH(GroupMember[[#This Row],[1. Identifiant interne d’exploitation agricole*]],CertifiedCrop[1. Identifiant interne d’exploitation agricole*],0)),FALSE,TRUE))</f>
        <v>1</v>
      </c>
      <c r="AE281" s="177" t="b">
        <f>IF(ISBLANK(GroupMember[[#This Row],[1. Identifiant interne d’exploitation agricole*]]),"",IF(ISERROR(MATCH(GroupMember[[#This Row],[1. Identifiant interne d’exploitation agricole*]],FarmUnit[1. Identifiant interne d’exploitation agricole*],0)),FALSE,TRUE))</f>
        <v>1</v>
      </c>
      <c r="AF281" s="178" t="str">
        <f t="shared" si="16"/>
        <v>ZONGO  ABOU</v>
      </c>
      <c r="AG281" s="179" t="str">
        <f t="shared" si="17"/>
        <v>23/8/2021</v>
      </c>
      <c r="AH281" s="180">
        <f t="shared" si="19"/>
        <v>4</v>
      </c>
      <c r="AI281" s="181">
        <f t="shared" si="18"/>
        <v>0.16666666666666666</v>
      </c>
    </row>
    <row r="282" spans="1:35" ht="15">
      <c r="A282" s="170" t="s">
        <v>1746</v>
      </c>
      <c r="B282" s="171" t="s">
        <v>1746</v>
      </c>
      <c r="C282" s="171" t="s">
        <v>1746</v>
      </c>
      <c r="D282" s="171" t="s">
        <v>1251</v>
      </c>
      <c r="E282" s="171" t="s">
        <v>668</v>
      </c>
      <c r="F282" s="171" t="s">
        <v>669</v>
      </c>
      <c r="G282" s="171" t="s">
        <v>670</v>
      </c>
      <c r="H282" s="195">
        <v>1.9339</v>
      </c>
      <c r="I282" s="171" t="s">
        <v>671</v>
      </c>
      <c r="J282" s="57">
        <v>1</v>
      </c>
      <c r="K282" s="172">
        <v>2021</v>
      </c>
      <c r="L282" s="173" t="s">
        <v>1252</v>
      </c>
      <c r="M282" s="173" t="s">
        <v>1510</v>
      </c>
      <c r="N282" s="174" t="s">
        <v>884</v>
      </c>
      <c r="O282" s="171" t="s">
        <v>2576</v>
      </c>
      <c r="P282" s="171" t="s">
        <v>675</v>
      </c>
      <c r="Q282" s="209">
        <v>1980</v>
      </c>
      <c r="R282" s="171">
        <v>7</v>
      </c>
      <c r="S282" s="171"/>
      <c r="T282" s="173"/>
      <c r="U282" s="171"/>
      <c r="V282" s="171"/>
      <c r="W282" s="171"/>
      <c r="X282" s="57">
        <v>0</v>
      </c>
      <c r="Y282" s="172">
        <v>2</v>
      </c>
      <c r="Z282" s="175" t="s">
        <v>1256</v>
      </c>
      <c r="AA282" s="176">
        <v>2021</v>
      </c>
      <c r="AB282" s="176">
        <v>7</v>
      </c>
      <c r="AC282" s="176">
        <v>7</v>
      </c>
      <c r="AD282" s="177" t="b">
        <f>IF(ISBLANK(GroupMember[[#This Row],[1. Identifiant interne d’exploitation agricole*]]),"",IF(ISERROR(MATCH(GroupMember[[#This Row],[1. Identifiant interne d’exploitation agricole*]],CertifiedCrop[1. Identifiant interne d’exploitation agricole*],0)),FALSE,TRUE))</f>
        <v>1</v>
      </c>
      <c r="AE282" s="177" t="b">
        <f>IF(ISBLANK(GroupMember[[#This Row],[1. Identifiant interne d’exploitation agricole*]]),"",IF(ISERROR(MATCH(GroupMember[[#This Row],[1. Identifiant interne d’exploitation agricole*]],FarmUnit[1. Identifiant interne d’exploitation agricole*],0)),FALSE,TRUE))</f>
        <v>1</v>
      </c>
      <c r="AF282" s="178" t="str">
        <f t="shared" si="16"/>
        <v>OULAI EDMOND</v>
      </c>
      <c r="AG282" s="179" t="str">
        <f t="shared" si="17"/>
        <v>7/7/2021</v>
      </c>
      <c r="AH282" s="180">
        <f t="shared" si="19"/>
        <v>5</v>
      </c>
      <c r="AI282" s="181">
        <f t="shared" si="18"/>
        <v>0.16666666666666666</v>
      </c>
    </row>
    <row r="283" spans="1:35" ht="15">
      <c r="A283" s="170" t="s">
        <v>1747</v>
      </c>
      <c r="B283" s="171" t="s">
        <v>1747</v>
      </c>
      <c r="C283" s="171" t="s">
        <v>1747</v>
      </c>
      <c r="D283" s="171" t="s">
        <v>1251</v>
      </c>
      <c r="E283" s="171" t="s">
        <v>668</v>
      </c>
      <c r="F283" s="171" t="s">
        <v>669</v>
      </c>
      <c r="G283" s="171" t="s">
        <v>670</v>
      </c>
      <c r="H283" s="195">
        <v>2.6658999999999997</v>
      </c>
      <c r="I283" s="171" t="s">
        <v>671</v>
      </c>
      <c r="J283" s="57">
        <v>1</v>
      </c>
      <c r="K283" s="172">
        <v>2021</v>
      </c>
      <c r="L283" s="173" t="s">
        <v>1748</v>
      </c>
      <c r="M283" s="173" t="s">
        <v>1111</v>
      </c>
      <c r="N283" s="174" t="s">
        <v>884</v>
      </c>
      <c r="O283" s="171" t="s">
        <v>1749</v>
      </c>
      <c r="P283" s="171" t="s">
        <v>675</v>
      </c>
      <c r="Q283" s="209">
        <v>1967</v>
      </c>
      <c r="R283" s="171">
        <v>11</v>
      </c>
      <c r="S283" s="171"/>
      <c r="T283" s="173"/>
      <c r="U283" s="171"/>
      <c r="V283" s="171"/>
      <c r="W283" s="171"/>
      <c r="X283" s="57">
        <v>0</v>
      </c>
      <c r="Y283" s="172">
        <v>2</v>
      </c>
      <c r="Z283" s="175" t="s">
        <v>1256</v>
      </c>
      <c r="AA283" s="176">
        <v>2021</v>
      </c>
      <c r="AB283" s="176">
        <v>8</v>
      </c>
      <c r="AC283" s="176">
        <v>20</v>
      </c>
      <c r="AD283" s="177" t="b">
        <f>IF(ISBLANK(GroupMember[[#This Row],[1. Identifiant interne d’exploitation agricole*]]),"",IF(ISERROR(MATCH(GroupMember[[#This Row],[1. Identifiant interne d’exploitation agricole*]],CertifiedCrop[1. Identifiant interne d’exploitation agricole*],0)),FALSE,TRUE))</f>
        <v>1</v>
      </c>
      <c r="AE283" s="177" t="b">
        <f>IF(ISBLANK(GroupMember[[#This Row],[1. Identifiant interne d’exploitation agricole*]]),"",IF(ISERROR(MATCH(GroupMember[[#This Row],[1. Identifiant interne d’exploitation agricole*]],FarmUnit[1. Identifiant interne d’exploitation agricole*],0)),FALSE,TRUE))</f>
        <v>1</v>
      </c>
      <c r="AF283" s="178" t="str">
        <f t="shared" si="16"/>
        <v>GOME  ANTOINE</v>
      </c>
      <c r="AG283" s="179" t="str">
        <f t="shared" si="17"/>
        <v>20/8/2021</v>
      </c>
      <c r="AH283" s="180">
        <f t="shared" si="19"/>
        <v>4</v>
      </c>
      <c r="AI283" s="181">
        <f t="shared" si="18"/>
        <v>0.16666666666666666</v>
      </c>
    </row>
    <row r="284" spans="1:35" ht="15">
      <c r="A284" s="170" t="s">
        <v>1750</v>
      </c>
      <c r="B284" s="171" t="s">
        <v>1750</v>
      </c>
      <c r="C284" s="171" t="s">
        <v>1750</v>
      </c>
      <c r="D284" s="171" t="s">
        <v>1251</v>
      </c>
      <c r="E284" s="171" t="s">
        <v>668</v>
      </c>
      <c r="F284" s="171" t="s">
        <v>669</v>
      </c>
      <c r="G284" s="171" t="s">
        <v>670</v>
      </c>
      <c r="H284" s="195">
        <v>2.2873999999999999</v>
      </c>
      <c r="I284" s="171" t="s">
        <v>671</v>
      </c>
      <c r="J284" s="57">
        <v>1</v>
      </c>
      <c r="K284" s="172">
        <v>2021</v>
      </c>
      <c r="L284" s="173" t="s">
        <v>1252</v>
      </c>
      <c r="M284" s="173" t="s">
        <v>1751</v>
      </c>
      <c r="N284" s="174" t="s">
        <v>1752</v>
      </c>
      <c r="O284" s="171" t="s">
        <v>2577</v>
      </c>
      <c r="P284" s="171" t="s">
        <v>675</v>
      </c>
      <c r="Q284" s="209">
        <v>1987</v>
      </c>
      <c r="R284" s="171">
        <v>4</v>
      </c>
      <c r="S284" s="171"/>
      <c r="T284" s="173"/>
      <c r="U284" s="171"/>
      <c r="V284" s="171"/>
      <c r="W284" s="171"/>
      <c r="X284" s="57">
        <v>0</v>
      </c>
      <c r="Y284" s="172">
        <v>2</v>
      </c>
      <c r="Z284" s="175" t="s">
        <v>1256</v>
      </c>
      <c r="AA284" s="176">
        <v>2021</v>
      </c>
      <c r="AB284" s="176">
        <v>7</v>
      </c>
      <c r="AC284" s="176">
        <v>23</v>
      </c>
      <c r="AD284" s="177" t="b">
        <f>IF(ISBLANK(GroupMember[[#This Row],[1. Identifiant interne d’exploitation agricole*]]),"",IF(ISERROR(MATCH(GroupMember[[#This Row],[1. Identifiant interne d’exploitation agricole*]],CertifiedCrop[1. Identifiant interne d’exploitation agricole*],0)),FALSE,TRUE))</f>
        <v>1</v>
      </c>
      <c r="AE284" s="177" t="b">
        <f>IF(ISBLANK(GroupMember[[#This Row],[1. Identifiant interne d’exploitation agricole*]]),"",IF(ISERROR(MATCH(GroupMember[[#This Row],[1. Identifiant interne d’exploitation agricole*]],FarmUnit[1. Identifiant interne d’exploitation agricole*],0)),FALSE,TRUE))</f>
        <v>1</v>
      </c>
      <c r="AF284" s="178" t="str">
        <f t="shared" si="16"/>
        <v>OULAI YASSERAUD EVARISTE</v>
      </c>
      <c r="AG284" s="179" t="str">
        <f t="shared" si="17"/>
        <v>23/7/2021</v>
      </c>
      <c r="AH284" s="180">
        <f t="shared" si="19"/>
        <v>4</v>
      </c>
      <c r="AI284" s="181">
        <f t="shared" si="18"/>
        <v>0.16666666666666666</v>
      </c>
    </row>
    <row r="285" spans="1:35" ht="15">
      <c r="A285" s="170" t="s">
        <v>1753</v>
      </c>
      <c r="B285" s="171" t="s">
        <v>1753</v>
      </c>
      <c r="C285" s="171" t="s">
        <v>1753</v>
      </c>
      <c r="D285" s="171" t="s">
        <v>1251</v>
      </c>
      <c r="E285" s="171" t="s">
        <v>668</v>
      </c>
      <c r="F285" s="171" t="s">
        <v>669</v>
      </c>
      <c r="G285" s="171" t="s">
        <v>670</v>
      </c>
      <c r="H285" s="195">
        <v>2.0544000000000002</v>
      </c>
      <c r="I285" s="171" t="s">
        <v>671</v>
      </c>
      <c r="J285" s="57">
        <v>1</v>
      </c>
      <c r="K285" s="172">
        <v>2021</v>
      </c>
      <c r="L285" s="173" t="s">
        <v>1754</v>
      </c>
      <c r="M285" s="173" t="s">
        <v>1035</v>
      </c>
      <c r="N285" s="174" t="s">
        <v>1755</v>
      </c>
      <c r="O285" s="171" t="s">
        <v>2578</v>
      </c>
      <c r="P285" s="171" t="s">
        <v>675</v>
      </c>
      <c r="Q285" s="209">
        <v>980</v>
      </c>
      <c r="R285" s="171">
        <v>6</v>
      </c>
      <c r="S285" s="171"/>
      <c r="T285" s="173"/>
      <c r="U285" s="171"/>
      <c r="V285" s="171"/>
      <c r="W285" s="171"/>
      <c r="X285" s="57">
        <v>0</v>
      </c>
      <c r="Y285" s="172">
        <v>2</v>
      </c>
      <c r="Z285" s="175" t="s">
        <v>1256</v>
      </c>
      <c r="AA285" s="176">
        <v>2021</v>
      </c>
      <c r="AB285" s="176">
        <v>8</v>
      </c>
      <c r="AC285" s="176">
        <v>25</v>
      </c>
      <c r="AD285" s="177" t="b">
        <f>IF(ISBLANK(GroupMember[[#This Row],[1. Identifiant interne d’exploitation agricole*]]),"",IF(ISERROR(MATCH(GroupMember[[#This Row],[1. Identifiant interne d’exploitation agricole*]],CertifiedCrop[1. Identifiant interne d’exploitation agricole*],0)),FALSE,TRUE))</f>
        <v>1</v>
      </c>
      <c r="AE285" s="177" t="b">
        <f>IF(ISBLANK(GroupMember[[#This Row],[1. Identifiant interne d’exploitation agricole*]]),"",IF(ISERROR(MATCH(GroupMember[[#This Row],[1. Identifiant interne d’exploitation agricole*]],FarmUnit[1. Identifiant interne d’exploitation agricole*],0)),FALSE,TRUE))</f>
        <v>1</v>
      </c>
      <c r="AF285" s="178" t="str">
        <f t="shared" si="16"/>
        <v>GONTO JULIEN</v>
      </c>
      <c r="AG285" s="179" t="str">
        <f t="shared" si="17"/>
        <v>25/8/2021</v>
      </c>
      <c r="AH285" s="180">
        <f t="shared" si="19"/>
        <v>5</v>
      </c>
      <c r="AI285" s="181">
        <f t="shared" si="18"/>
        <v>0.16666666666666666</v>
      </c>
    </row>
    <row r="286" spans="1:35" ht="15">
      <c r="A286" s="170" t="s">
        <v>1756</v>
      </c>
      <c r="B286" s="171" t="s">
        <v>1756</v>
      </c>
      <c r="C286" s="171" t="s">
        <v>1756</v>
      </c>
      <c r="D286" s="171" t="s">
        <v>1251</v>
      </c>
      <c r="E286" s="171" t="s">
        <v>668</v>
      </c>
      <c r="F286" s="171" t="s">
        <v>669</v>
      </c>
      <c r="G286" s="171" t="s">
        <v>670</v>
      </c>
      <c r="H286" s="195">
        <v>1.9459</v>
      </c>
      <c r="I286" s="171" t="s">
        <v>671</v>
      </c>
      <c r="J286" s="57">
        <v>1</v>
      </c>
      <c r="K286" s="172">
        <v>2021</v>
      </c>
      <c r="L286" s="173" t="s">
        <v>1356</v>
      </c>
      <c r="M286" s="173" t="s">
        <v>891</v>
      </c>
      <c r="N286" s="174" t="s">
        <v>1757</v>
      </c>
      <c r="O286" s="171" t="s">
        <v>2579</v>
      </c>
      <c r="P286" s="171" t="s">
        <v>675</v>
      </c>
      <c r="Q286" s="209">
        <v>1989</v>
      </c>
      <c r="R286" s="171">
        <v>6</v>
      </c>
      <c r="S286" s="171"/>
      <c r="T286" s="173"/>
      <c r="U286" s="171"/>
      <c r="V286" s="171"/>
      <c r="W286" s="171"/>
      <c r="X286" s="57">
        <v>0</v>
      </c>
      <c r="Y286" s="172">
        <v>2</v>
      </c>
      <c r="Z286" s="175" t="s">
        <v>1256</v>
      </c>
      <c r="AA286" s="176">
        <v>2021</v>
      </c>
      <c r="AB286" s="176">
        <v>8</v>
      </c>
      <c r="AC286" s="176">
        <v>13</v>
      </c>
      <c r="AD286" s="177" t="b">
        <f>IF(ISBLANK(GroupMember[[#This Row],[1. Identifiant interne d’exploitation agricole*]]),"",IF(ISERROR(MATCH(GroupMember[[#This Row],[1. Identifiant interne d’exploitation agricole*]],CertifiedCrop[1. Identifiant interne d’exploitation agricole*],0)),FALSE,TRUE))</f>
        <v>1</v>
      </c>
      <c r="AE286" s="177" t="b">
        <f>IF(ISBLANK(GroupMember[[#This Row],[1. Identifiant interne d’exploitation agricole*]]),"",IF(ISERROR(MATCH(GroupMember[[#This Row],[1. Identifiant interne d’exploitation agricole*]],FarmUnit[1. Identifiant interne d’exploitation agricole*],0)),FALSE,TRUE))</f>
        <v>1</v>
      </c>
      <c r="AF286" s="178" t="str">
        <f t="shared" si="16"/>
        <v>KPAN JOEL</v>
      </c>
      <c r="AG286" s="179" t="str">
        <f t="shared" si="17"/>
        <v>13/8/2021</v>
      </c>
      <c r="AH286" s="180">
        <f t="shared" si="19"/>
        <v>3</v>
      </c>
      <c r="AI286" s="181">
        <f t="shared" si="18"/>
        <v>0.16666666666666666</v>
      </c>
    </row>
    <row r="287" spans="1:35" ht="15">
      <c r="A287" s="170" t="s">
        <v>1758</v>
      </c>
      <c r="B287" s="171" t="s">
        <v>1758</v>
      </c>
      <c r="C287" s="171" t="s">
        <v>1758</v>
      </c>
      <c r="D287" s="171" t="s">
        <v>1251</v>
      </c>
      <c r="E287" s="171" t="s">
        <v>668</v>
      </c>
      <c r="F287" s="171" t="s">
        <v>669</v>
      </c>
      <c r="G287" s="171" t="s">
        <v>670</v>
      </c>
      <c r="H287" s="195">
        <v>4.1875</v>
      </c>
      <c r="I287" s="171" t="s">
        <v>671</v>
      </c>
      <c r="J287" s="57">
        <v>1</v>
      </c>
      <c r="K287" s="172">
        <v>2021</v>
      </c>
      <c r="L287" s="173" t="s">
        <v>1407</v>
      </c>
      <c r="M287" s="173" t="s">
        <v>1267</v>
      </c>
      <c r="N287" s="174" t="s">
        <v>1759</v>
      </c>
      <c r="O287" s="171" t="s">
        <v>1760</v>
      </c>
      <c r="P287" s="171" t="s">
        <v>675</v>
      </c>
      <c r="Q287" s="209">
        <v>1979</v>
      </c>
      <c r="R287" s="171">
        <v>5</v>
      </c>
      <c r="S287" s="171"/>
      <c r="T287" s="173"/>
      <c r="U287" s="171"/>
      <c r="V287" s="171"/>
      <c r="W287" s="171"/>
      <c r="X287" s="57">
        <v>0</v>
      </c>
      <c r="Y287" s="172">
        <v>2</v>
      </c>
      <c r="Z287" s="175" t="s">
        <v>1256</v>
      </c>
      <c r="AA287" s="176">
        <v>2021</v>
      </c>
      <c r="AB287" s="176">
        <v>7</v>
      </c>
      <c r="AC287" s="176">
        <v>16</v>
      </c>
      <c r="AD287" s="177" t="b">
        <f>IF(ISBLANK(GroupMember[[#This Row],[1. Identifiant interne d’exploitation agricole*]]),"",IF(ISERROR(MATCH(GroupMember[[#This Row],[1. Identifiant interne d’exploitation agricole*]],CertifiedCrop[1. Identifiant interne d’exploitation agricole*],0)),FALSE,TRUE))</f>
        <v>1</v>
      </c>
      <c r="AE287" s="177" t="b">
        <f>IF(ISBLANK(GroupMember[[#This Row],[1. Identifiant interne d’exploitation agricole*]]),"",IF(ISERROR(MATCH(GroupMember[[#This Row],[1. Identifiant interne d’exploitation agricole*]],FarmUnit[1. Identifiant interne d’exploitation agricole*],0)),FALSE,TRUE))</f>
        <v>1</v>
      </c>
      <c r="AF287" s="178" t="str">
        <f t="shared" si="16"/>
        <v>TROH ALEXIS</v>
      </c>
      <c r="AG287" s="179" t="str">
        <f t="shared" si="17"/>
        <v>16/7/2021</v>
      </c>
      <c r="AH287" s="180">
        <f t="shared" si="19"/>
        <v>5</v>
      </c>
      <c r="AI287" s="181">
        <f t="shared" si="18"/>
        <v>0.16666666666666666</v>
      </c>
    </row>
    <row r="288" spans="1:35" ht="15">
      <c r="A288" s="170" t="s">
        <v>1761</v>
      </c>
      <c r="B288" s="171" t="s">
        <v>1761</v>
      </c>
      <c r="C288" s="171" t="s">
        <v>1761</v>
      </c>
      <c r="D288" s="171" t="s">
        <v>1251</v>
      </c>
      <c r="E288" s="171" t="s">
        <v>668</v>
      </c>
      <c r="F288" s="171" t="s">
        <v>669</v>
      </c>
      <c r="G288" s="171" t="s">
        <v>670</v>
      </c>
      <c r="H288" s="195">
        <v>4.9391999999999996</v>
      </c>
      <c r="I288" s="171" t="s">
        <v>671</v>
      </c>
      <c r="J288" s="57">
        <v>1</v>
      </c>
      <c r="K288" s="172">
        <v>2021</v>
      </c>
      <c r="L288" s="173" t="s">
        <v>845</v>
      </c>
      <c r="M288" s="173" t="s">
        <v>1205</v>
      </c>
      <c r="N288" s="174" t="s">
        <v>1762</v>
      </c>
      <c r="O288" s="171" t="s">
        <v>1763</v>
      </c>
      <c r="P288" s="171" t="s">
        <v>675</v>
      </c>
      <c r="Q288" s="209">
        <v>1979</v>
      </c>
      <c r="R288" s="171">
        <v>5</v>
      </c>
      <c r="S288" s="171"/>
      <c r="T288" s="173"/>
      <c r="U288" s="171"/>
      <c r="V288" s="171"/>
      <c r="W288" s="171"/>
      <c r="X288" s="57">
        <v>0</v>
      </c>
      <c r="Y288" s="172">
        <v>2</v>
      </c>
      <c r="Z288" s="175" t="s">
        <v>1256</v>
      </c>
      <c r="AA288" s="176">
        <v>2021</v>
      </c>
      <c r="AB288" s="176">
        <v>8</v>
      </c>
      <c r="AC288" s="176">
        <v>11</v>
      </c>
      <c r="AD288" s="177" t="b">
        <f>IF(ISBLANK(GroupMember[[#This Row],[1. Identifiant interne d’exploitation agricole*]]),"",IF(ISERROR(MATCH(GroupMember[[#This Row],[1. Identifiant interne d’exploitation agricole*]],CertifiedCrop[1. Identifiant interne d’exploitation agricole*],0)),FALSE,TRUE))</f>
        <v>1</v>
      </c>
      <c r="AE288" s="177" t="b">
        <f>IF(ISBLANK(GroupMember[[#This Row],[1. Identifiant interne d’exploitation agricole*]]),"",IF(ISERROR(MATCH(GroupMember[[#This Row],[1. Identifiant interne d’exploitation agricole*]],FarmUnit[1. Identifiant interne d’exploitation agricole*],0)),FALSE,TRUE))</f>
        <v>1</v>
      </c>
      <c r="AF288" s="178" t="str">
        <f t="shared" si="16"/>
        <v>SABO  SALIF</v>
      </c>
      <c r="AG288" s="179" t="str">
        <f t="shared" si="17"/>
        <v>11/8/2021</v>
      </c>
      <c r="AH288" s="180">
        <f t="shared" si="19"/>
        <v>4</v>
      </c>
      <c r="AI288" s="181">
        <f t="shared" si="18"/>
        <v>0.16666666666666666</v>
      </c>
    </row>
    <row r="289" spans="1:35" ht="15">
      <c r="A289" s="170" t="s">
        <v>1764</v>
      </c>
      <c r="B289" s="171" t="s">
        <v>1764</v>
      </c>
      <c r="C289" s="171" t="s">
        <v>1764</v>
      </c>
      <c r="D289" s="171" t="s">
        <v>1251</v>
      </c>
      <c r="E289" s="171" t="s">
        <v>668</v>
      </c>
      <c r="F289" s="171" t="s">
        <v>669</v>
      </c>
      <c r="G289" s="171" t="s">
        <v>670</v>
      </c>
      <c r="H289" s="195">
        <v>1.6334</v>
      </c>
      <c r="I289" s="171" t="s">
        <v>671</v>
      </c>
      <c r="J289" s="57">
        <v>1</v>
      </c>
      <c r="K289" s="172">
        <v>2021</v>
      </c>
      <c r="L289" s="173" t="s">
        <v>1765</v>
      </c>
      <c r="M289" s="173" t="s">
        <v>1766</v>
      </c>
      <c r="N289" s="174" t="s">
        <v>1767</v>
      </c>
      <c r="O289" s="57" t="s">
        <v>1848</v>
      </c>
      <c r="P289" s="171" t="s">
        <v>675</v>
      </c>
      <c r="Q289" s="209">
        <v>1974</v>
      </c>
      <c r="R289" s="171">
        <v>8</v>
      </c>
      <c r="S289" s="171"/>
      <c r="T289" s="173"/>
      <c r="U289" s="171"/>
      <c r="V289" s="171"/>
      <c r="W289" s="171"/>
      <c r="X289" s="57">
        <v>0</v>
      </c>
      <c r="Y289" s="172">
        <v>2</v>
      </c>
      <c r="Z289" s="175" t="s">
        <v>1256</v>
      </c>
      <c r="AA289" s="176">
        <v>2021</v>
      </c>
      <c r="AB289" s="176">
        <v>8</v>
      </c>
      <c r="AC289" s="176">
        <v>25</v>
      </c>
      <c r="AD289" s="177" t="b">
        <f>IF(ISBLANK(GroupMember[[#This Row],[1. Identifiant interne d’exploitation agricole*]]),"",IF(ISERROR(MATCH(GroupMember[[#This Row],[1. Identifiant interne d’exploitation agricole*]],CertifiedCrop[1. Identifiant interne d’exploitation agricole*],0)),FALSE,TRUE))</f>
        <v>1</v>
      </c>
      <c r="AE289" s="177" t="b">
        <f>IF(ISBLANK(GroupMember[[#This Row],[1. Identifiant interne d’exploitation agricole*]]),"",IF(ISERROR(MATCH(GroupMember[[#This Row],[1. Identifiant interne d’exploitation agricole*]],FarmUnit[1. Identifiant interne d’exploitation agricole*],0)),FALSE,TRUE))</f>
        <v>1</v>
      </c>
      <c r="AF289" s="178" t="str">
        <f t="shared" si="16"/>
        <v xml:space="preserve">KOUASSI  KOUADIO  LUCIEN </v>
      </c>
      <c r="AG289" s="179" t="str">
        <f t="shared" si="17"/>
        <v>25/8/2021</v>
      </c>
      <c r="AH289" s="180">
        <f t="shared" si="19"/>
        <v>5</v>
      </c>
      <c r="AI289" s="181">
        <f t="shared" si="18"/>
        <v>0.16666666666666666</v>
      </c>
    </row>
    <row r="290" spans="1:35" ht="15">
      <c r="A290" s="170" t="s">
        <v>1768</v>
      </c>
      <c r="B290" s="171" t="s">
        <v>1768</v>
      </c>
      <c r="C290" s="171" t="s">
        <v>1768</v>
      </c>
      <c r="D290" s="171" t="s">
        <v>1251</v>
      </c>
      <c r="E290" s="171" t="s">
        <v>668</v>
      </c>
      <c r="F290" s="171" t="s">
        <v>669</v>
      </c>
      <c r="G290" s="171" t="s">
        <v>670</v>
      </c>
      <c r="H290" s="195">
        <v>2.2423000000000002</v>
      </c>
      <c r="I290" s="171" t="s">
        <v>671</v>
      </c>
      <c r="J290" s="57">
        <v>1</v>
      </c>
      <c r="K290" s="172">
        <v>2021</v>
      </c>
      <c r="L290" s="173" t="s">
        <v>1769</v>
      </c>
      <c r="M290" s="173" t="s">
        <v>1770</v>
      </c>
      <c r="N290" s="174" t="s">
        <v>1771</v>
      </c>
      <c r="O290" s="171" t="s">
        <v>1301</v>
      </c>
      <c r="P290" s="171" t="s">
        <v>675</v>
      </c>
      <c r="Q290" s="209">
        <v>1988</v>
      </c>
      <c r="R290" s="171">
        <v>2</v>
      </c>
      <c r="S290" s="171"/>
      <c r="T290" s="173"/>
      <c r="U290" s="171"/>
      <c r="V290" s="171"/>
      <c r="W290" s="171"/>
      <c r="X290" s="57">
        <v>0</v>
      </c>
      <c r="Y290" s="172">
        <v>2</v>
      </c>
      <c r="Z290" s="175" t="s">
        <v>1256</v>
      </c>
      <c r="AA290" s="176">
        <v>2021</v>
      </c>
      <c r="AB290" s="176">
        <v>7</v>
      </c>
      <c r="AC290" s="176">
        <v>30</v>
      </c>
      <c r="AD290" s="177" t="b">
        <f>IF(ISBLANK(GroupMember[[#This Row],[1. Identifiant interne d’exploitation agricole*]]),"",IF(ISERROR(MATCH(GroupMember[[#This Row],[1. Identifiant interne d’exploitation agricole*]],CertifiedCrop[1. Identifiant interne d’exploitation agricole*],0)),FALSE,TRUE))</f>
        <v>1</v>
      </c>
      <c r="AE290" s="177" t="b">
        <f>IF(ISBLANK(GroupMember[[#This Row],[1. Identifiant interne d’exploitation agricole*]]),"",IF(ISERROR(MATCH(GroupMember[[#This Row],[1. Identifiant interne d’exploitation agricole*]],FarmUnit[1. Identifiant interne d’exploitation agricole*],0)),FALSE,TRUE))</f>
        <v>1</v>
      </c>
      <c r="AF290" s="178" t="str">
        <f t="shared" si="16"/>
        <v>KOFFI CLAUDE  KOUADIO</v>
      </c>
      <c r="AG290" s="179" t="str">
        <f t="shared" si="17"/>
        <v>30/7/2021</v>
      </c>
      <c r="AH290" s="180">
        <f t="shared" si="19"/>
        <v>4</v>
      </c>
      <c r="AI290" s="181">
        <f t="shared" si="18"/>
        <v>0.16666666666666666</v>
      </c>
    </row>
    <row r="291" spans="1:35" ht="15">
      <c r="A291" s="170" t="s">
        <v>1772</v>
      </c>
      <c r="B291" s="171" t="s">
        <v>1772</v>
      </c>
      <c r="C291" s="171" t="s">
        <v>1772</v>
      </c>
      <c r="D291" s="171" t="s">
        <v>1251</v>
      </c>
      <c r="E291" s="171" t="s">
        <v>668</v>
      </c>
      <c r="F291" s="171" t="s">
        <v>669</v>
      </c>
      <c r="G291" s="171" t="s">
        <v>670</v>
      </c>
      <c r="H291" s="195">
        <v>3.0865999999999998</v>
      </c>
      <c r="I291" s="171" t="s">
        <v>671</v>
      </c>
      <c r="J291" s="57">
        <v>1</v>
      </c>
      <c r="K291" s="172">
        <v>2021</v>
      </c>
      <c r="L291" s="173" t="s">
        <v>1773</v>
      </c>
      <c r="M291" s="173" t="s">
        <v>702</v>
      </c>
      <c r="N291" s="174" t="s">
        <v>1774</v>
      </c>
      <c r="O291" s="171" t="s">
        <v>1775</v>
      </c>
      <c r="P291" s="171" t="s">
        <v>675</v>
      </c>
      <c r="Q291" s="209">
        <v>1978</v>
      </c>
      <c r="R291" s="171">
        <v>6</v>
      </c>
      <c r="S291" s="171"/>
      <c r="T291" s="173"/>
      <c r="U291" s="171"/>
      <c r="V291" s="171"/>
      <c r="W291" s="171"/>
      <c r="X291" s="57">
        <v>0</v>
      </c>
      <c r="Y291" s="172">
        <v>2</v>
      </c>
      <c r="Z291" s="175" t="s">
        <v>1256</v>
      </c>
      <c r="AA291" s="176">
        <v>2021</v>
      </c>
      <c r="AB291" s="176">
        <v>8</v>
      </c>
      <c r="AC291" s="176">
        <v>6</v>
      </c>
      <c r="AD291" s="177" t="b">
        <f>IF(ISBLANK(GroupMember[[#This Row],[1. Identifiant interne d’exploitation agricole*]]),"",IF(ISERROR(MATCH(GroupMember[[#This Row],[1. Identifiant interne d’exploitation agricole*]],CertifiedCrop[1. Identifiant interne d’exploitation agricole*],0)),FALSE,TRUE))</f>
        <v>1</v>
      </c>
      <c r="AE291" s="177" t="b">
        <f>IF(ISBLANK(GroupMember[[#This Row],[1. Identifiant interne d’exploitation agricole*]]),"",IF(ISERROR(MATCH(GroupMember[[#This Row],[1. Identifiant interne d’exploitation agricole*]],FarmUnit[1. Identifiant interne d’exploitation agricole*],0)),FALSE,TRUE))</f>
        <v>1</v>
      </c>
      <c r="AF291" s="178" t="str">
        <f t="shared" si="16"/>
        <v>SEKOU KOUADIO LAURENT</v>
      </c>
      <c r="AG291" s="179" t="str">
        <f t="shared" si="17"/>
        <v>6/8/2021</v>
      </c>
      <c r="AH291" s="180">
        <f t="shared" si="19"/>
        <v>5</v>
      </c>
      <c r="AI291" s="181">
        <f t="shared" si="18"/>
        <v>0.16666666666666666</v>
      </c>
    </row>
    <row r="292" spans="1:35" ht="15">
      <c r="A292" s="170" t="s">
        <v>1776</v>
      </c>
      <c r="B292" s="171" t="s">
        <v>1776</v>
      </c>
      <c r="C292" s="171" t="s">
        <v>1776</v>
      </c>
      <c r="D292" s="171" t="s">
        <v>1251</v>
      </c>
      <c r="E292" s="171" t="s">
        <v>668</v>
      </c>
      <c r="F292" s="171" t="s">
        <v>669</v>
      </c>
      <c r="G292" s="171" t="s">
        <v>670</v>
      </c>
      <c r="H292" s="195">
        <v>2.0863</v>
      </c>
      <c r="I292" s="171" t="s">
        <v>671</v>
      </c>
      <c r="J292" s="57">
        <v>1</v>
      </c>
      <c r="K292" s="172">
        <v>2021</v>
      </c>
      <c r="L292" s="173" t="s">
        <v>1381</v>
      </c>
      <c r="M292" s="173" t="s">
        <v>1777</v>
      </c>
      <c r="N292" s="174" t="s">
        <v>1778</v>
      </c>
      <c r="O292" s="171" t="s">
        <v>1779</v>
      </c>
      <c r="P292" s="171" t="s">
        <v>675</v>
      </c>
      <c r="Q292" s="209">
        <v>1989</v>
      </c>
      <c r="R292" s="171">
        <v>4</v>
      </c>
      <c r="S292" s="171"/>
      <c r="T292" s="173"/>
      <c r="U292" s="171"/>
      <c r="V292" s="171"/>
      <c r="W292" s="171"/>
      <c r="X292" s="57">
        <v>0</v>
      </c>
      <c r="Y292" s="172">
        <v>2</v>
      </c>
      <c r="Z292" s="175" t="s">
        <v>1256</v>
      </c>
      <c r="AA292" s="176">
        <v>2021</v>
      </c>
      <c r="AB292" s="176">
        <v>8</v>
      </c>
      <c r="AC292" s="176">
        <v>25</v>
      </c>
      <c r="AD292" s="177" t="b">
        <f>IF(ISBLANK(GroupMember[[#This Row],[1. Identifiant interne d’exploitation agricole*]]),"",IF(ISERROR(MATCH(GroupMember[[#This Row],[1. Identifiant interne d’exploitation agricole*]],CertifiedCrop[1. Identifiant interne d’exploitation agricole*],0)),FALSE,TRUE))</f>
        <v>1</v>
      </c>
      <c r="AE292" s="177" t="b">
        <f>IF(ISBLANK(GroupMember[[#This Row],[1. Identifiant interne d’exploitation agricole*]]),"",IF(ISERROR(MATCH(GroupMember[[#This Row],[1. Identifiant interne d’exploitation agricole*]],FarmUnit[1. Identifiant interne d’exploitation agricole*],0)),FALSE,TRUE))</f>
        <v>1</v>
      </c>
      <c r="AF292" s="178" t="str">
        <f t="shared" si="16"/>
        <v>YOLLA FRERNAND</v>
      </c>
      <c r="AG292" s="179" t="str">
        <f t="shared" si="17"/>
        <v>25/8/2021</v>
      </c>
      <c r="AH292" s="180">
        <f t="shared" si="19"/>
        <v>5</v>
      </c>
      <c r="AI292" s="181">
        <f t="shared" si="18"/>
        <v>0.16666666666666666</v>
      </c>
    </row>
    <row r="293" spans="1:35" ht="15">
      <c r="A293" s="170" t="s">
        <v>1780</v>
      </c>
      <c r="B293" s="171" t="s">
        <v>1780</v>
      </c>
      <c r="C293" s="171" t="s">
        <v>1780</v>
      </c>
      <c r="D293" s="171" t="s">
        <v>1251</v>
      </c>
      <c r="E293" s="171" t="s">
        <v>668</v>
      </c>
      <c r="F293" s="171" t="s">
        <v>669</v>
      </c>
      <c r="G293" s="171" t="s">
        <v>670</v>
      </c>
      <c r="H293" s="195">
        <v>2.8431999999999999</v>
      </c>
      <c r="I293" s="171" t="s">
        <v>671</v>
      </c>
      <c r="J293" s="57">
        <v>1</v>
      </c>
      <c r="K293" s="172">
        <v>2021</v>
      </c>
      <c r="L293" s="173" t="s">
        <v>1377</v>
      </c>
      <c r="M293" s="173" t="s">
        <v>1781</v>
      </c>
      <c r="N293" s="174" t="s">
        <v>1782</v>
      </c>
      <c r="O293" s="171" t="s">
        <v>1783</v>
      </c>
      <c r="P293" s="171" t="s">
        <v>675</v>
      </c>
      <c r="Q293" s="209">
        <v>1990</v>
      </c>
      <c r="R293" s="171">
        <v>5</v>
      </c>
      <c r="S293" s="171"/>
      <c r="T293" s="173"/>
      <c r="U293" s="171"/>
      <c r="V293" s="171"/>
      <c r="W293" s="171"/>
      <c r="X293" s="57">
        <v>0</v>
      </c>
      <c r="Y293" s="172">
        <v>2</v>
      </c>
      <c r="Z293" s="175" t="s">
        <v>1256</v>
      </c>
      <c r="AA293" s="176">
        <v>2021</v>
      </c>
      <c r="AB293" s="176">
        <v>7</v>
      </c>
      <c r="AC293" s="176">
        <v>27</v>
      </c>
      <c r="AD293" s="177" t="b">
        <f>IF(ISBLANK(GroupMember[[#This Row],[1. Identifiant interne d’exploitation agricole*]]),"",IF(ISERROR(MATCH(GroupMember[[#This Row],[1. Identifiant interne d’exploitation agricole*]],CertifiedCrop[1. Identifiant interne d’exploitation agricole*],0)),FALSE,TRUE))</f>
        <v>1</v>
      </c>
      <c r="AE293" s="177" t="b">
        <f>IF(ISBLANK(GroupMember[[#This Row],[1. Identifiant interne d’exploitation agricole*]]),"",IF(ISERROR(MATCH(GroupMember[[#This Row],[1. Identifiant interne d’exploitation agricole*]],FarmUnit[1. Identifiant interne d’exploitation agricole*],0)),FALSE,TRUE))</f>
        <v>1</v>
      </c>
      <c r="AF293" s="178" t="str">
        <f t="shared" si="16"/>
        <v>DION EVARISTE</v>
      </c>
      <c r="AG293" s="179" t="str">
        <f t="shared" si="17"/>
        <v>27/7/2021</v>
      </c>
      <c r="AH293" s="180">
        <f t="shared" si="19"/>
        <v>6</v>
      </c>
      <c r="AI293" s="181">
        <f t="shared" si="18"/>
        <v>0.16666666666666666</v>
      </c>
    </row>
    <row r="294" spans="1:35" ht="15">
      <c r="A294" s="170" t="s">
        <v>1784</v>
      </c>
      <c r="B294" s="171" t="s">
        <v>1784</v>
      </c>
      <c r="C294" s="171" t="s">
        <v>1784</v>
      </c>
      <c r="D294" s="171" t="s">
        <v>1251</v>
      </c>
      <c r="E294" s="171" t="s">
        <v>668</v>
      </c>
      <c r="F294" s="171" t="s">
        <v>669</v>
      </c>
      <c r="G294" s="171" t="s">
        <v>670</v>
      </c>
      <c r="H294" s="195">
        <v>2</v>
      </c>
      <c r="I294" s="171" t="s">
        <v>671</v>
      </c>
      <c r="J294" s="57">
        <v>1</v>
      </c>
      <c r="K294" s="172">
        <v>2021</v>
      </c>
      <c r="L294" s="173" t="s">
        <v>1785</v>
      </c>
      <c r="M294" s="173" t="s">
        <v>1786</v>
      </c>
      <c r="N294" s="174" t="s">
        <v>884</v>
      </c>
      <c r="O294" s="171" t="s">
        <v>1787</v>
      </c>
      <c r="P294" s="171" t="s">
        <v>675</v>
      </c>
      <c r="Q294" s="209">
        <v>1985</v>
      </c>
      <c r="R294" s="171">
        <v>6</v>
      </c>
      <c r="S294" s="171"/>
      <c r="T294" s="173"/>
      <c r="U294" s="171"/>
      <c r="V294" s="171"/>
      <c r="W294" s="171"/>
      <c r="X294" s="57">
        <v>0</v>
      </c>
      <c r="Y294" s="172">
        <v>2</v>
      </c>
      <c r="Z294" s="175" t="s">
        <v>1256</v>
      </c>
      <c r="AA294" s="176">
        <v>2021</v>
      </c>
      <c r="AB294" s="176">
        <v>7</v>
      </c>
      <c r="AC294" s="176">
        <v>27</v>
      </c>
      <c r="AD294" s="177" t="b">
        <f>IF(ISBLANK(GroupMember[[#This Row],[1. Identifiant interne d’exploitation agricole*]]),"",IF(ISERROR(MATCH(GroupMember[[#This Row],[1. Identifiant interne d’exploitation agricole*]],CertifiedCrop[1. Identifiant interne d’exploitation agricole*],0)),FALSE,TRUE))</f>
        <v>1</v>
      </c>
      <c r="AE294" s="177" t="b">
        <f>IF(ISBLANK(GroupMember[[#This Row],[1. Identifiant interne d’exploitation agricole*]]),"",IF(ISERROR(MATCH(GroupMember[[#This Row],[1. Identifiant interne d’exploitation agricole*]],FarmUnit[1. Identifiant interne d’exploitation agricole*],0)),FALSE,TRUE))</f>
        <v>1</v>
      </c>
      <c r="AF294" s="178" t="str">
        <f t="shared" si="16"/>
        <v>ZOGBI ANDERSON TANH</v>
      </c>
      <c r="AG294" s="179" t="str">
        <f t="shared" si="17"/>
        <v>27/7/2021</v>
      </c>
      <c r="AH294" s="180">
        <f t="shared" si="19"/>
        <v>6</v>
      </c>
      <c r="AI294" s="181">
        <f t="shared" si="18"/>
        <v>0.16666666666666666</v>
      </c>
    </row>
    <row r="295" spans="1:35" ht="15">
      <c r="A295" s="170" t="s">
        <v>1788</v>
      </c>
      <c r="B295" s="171" t="s">
        <v>1788</v>
      </c>
      <c r="C295" s="171" t="s">
        <v>1788</v>
      </c>
      <c r="D295" s="171" t="s">
        <v>1251</v>
      </c>
      <c r="E295" s="171" t="s">
        <v>668</v>
      </c>
      <c r="F295" s="171" t="s">
        <v>669</v>
      </c>
      <c r="G295" s="171" t="s">
        <v>670</v>
      </c>
      <c r="H295" s="195">
        <v>2.1722999999999999</v>
      </c>
      <c r="I295" s="171" t="s">
        <v>671</v>
      </c>
      <c r="J295" s="57">
        <v>1</v>
      </c>
      <c r="K295" s="172">
        <v>2021</v>
      </c>
      <c r="L295" s="173" t="s">
        <v>1789</v>
      </c>
      <c r="M295" s="173" t="s">
        <v>1790</v>
      </c>
      <c r="N295" s="174" t="s">
        <v>884</v>
      </c>
      <c r="O295" s="57" t="s">
        <v>2581</v>
      </c>
      <c r="P295" s="171" t="s">
        <v>720</v>
      </c>
      <c r="Q295" s="209">
        <v>1979</v>
      </c>
      <c r="R295" s="171">
        <v>1</v>
      </c>
      <c r="S295" s="171"/>
      <c r="T295" s="173"/>
      <c r="U295" s="171"/>
      <c r="V295" s="171"/>
      <c r="W295" s="171"/>
      <c r="X295" s="57">
        <v>0</v>
      </c>
      <c r="Y295" s="172">
        <v>2</v>
      </c>
      <c r="Z295" s="175" t="s">
        <v>1256</v>
      </c>
      <c r="AA295" s="176">
        <v>2021</v>
      </c>
      <c r="AB295" s="176">
        <v>7</v>
      </c>
      <c r="AC295" s="176">
        <v>12</v>
      </c>
      <c r="AD295" s="177" t="b">
        <f>IF(ISBLANK(GroupMember[[#This Row],[1. Identifiant interne d’exploitation agricole*]]),"",IF(ISERROR(MATCH(GroupMember[[#This Row],[1. Identifiant interne d’exploitation agricole*]],CertifiedCrop[1. Identifiant interne d’exploitation agricole*],0)),FALSE,TRUE))</f>
        <v>1</v>
      </c>
      <c r="AE295" s="177" t="b">
        <f>IF(ISBLANK(GroupMember[[#This Row],[1. Identifiant interne d’exploitation agricole*]]),"",IF(ISERROR(MATCH(GroupMember[[#This Row],[1. Identifiant interne d’exploitation agricole*]],FarmUnit[1. Identifiant interne d’exploitation agricole*],0)),FALSE,TRUE))</f>
        <v>1</v>
      </c>
      <c r="AF295" s="178" t="str">
        <f t="shared" si="16"/>
        <v>GLAI SESSIEU SEVERINE</v>
      </c>
      <c r="AG295" s="179" t="str">
        <f t="shared" si="17"/>
        <v>12/7/2021</v>
      </c>
      <c r="AH295" s="180">
        <f t="shared" si="19"/>
        <v>5</v>
      </c>
      <c r="AI295" s="181">
        <f t="shared" si="18"/>
        <v>0.16666666666666666</v>
      </c>
    </row>
    <row r="296" spans="1:35" ht="15">
      <c r="A296" s="170" t="s">
        <v>1791</v>
      </c>
      <c r="B296" s="171" t="s">
        <v>1791</v>
      </c>
      <c r="C296" s="171" t="s">
        <v>1791</v>
      </c>
      <c r="D296" s="171" t="s">
        <v>1251</v>
      </c>
      <c r="E296" s="171" t="s">
        <v>668</v>
      </c>
      <c r="F296" s="171" t="s">
        <v>669</v>
      </c>
      <c r="G296" s="171" t="s">
        <v>670</v>
      </c>
      <c r="H296" s="195">
        <v>3.1427999999999998</v>
      </c>
      <c r="I296" s="171" t="s">
        <v>671</v>
      </c>
      <c r="J296" s="57">
        <v>1</v>
      </c>
      <c r="K296" s="172">
        <v>2021</v>
      </c>
      <c r="L296" s="173" t="s">
        <v>1792</v>
      </c>
      <c r="M296" s="173" t="s">
        <v>1793</v>
      </c>
      <c r="N296" s="174" t="s">
        <v>884</v>
      </c>
      <c r="O296" s="57" t="s">
        <v>2582</v>
      </c>
      <c r="P296" s="171" t="s">
        <v>675</v>
      </c>
      <c r="Q296" s="209">
        <v>1973</v>
      </c>
      <c r="R296" s="171">
        <v>6</v>
      </c>
      <c r="S296" s="171"/>
      <c r="T296" s="173"/>
      <c r="U296" s="171"/>
      <c r="V296" s="171"/>
      <c r="W296" s="171"/>
      <c r="X296" s="57">
        <v>0</v>
      </c>
      <c r="Y296" s="172">
        <v>2</v>
      </c>
      <c r="Z296" s="175" t="s">
        <v>1256</v>
      </c>
      <c r="AA296" s="176">
        <v>2021</v>
      </c>
      <c r="AB296" s="176">
        <v>7</v>
      </c>
      <c r="AC296" s="176">
        <v>29</v>
      </c>
      <c r="AD296" s="177" t="b">
        <f>IF(ISBLANK(GroupMember[[#This Row],[1. Identifiant interne d’exploitation agricole*]]),"",IF(ISERROR(MATCH(GroupMember[[#This Row],[1. Identifiant interne d’exploitation agricole*]],CertifiedCrop[1. Identifiant interne d’exploitation agricole*],0)),FALSE,TRUE))</f>
        <v>1</v>
      </c>
      <c r="AE296" s="177" t="b">
        <f>IF(ISBLANK(GroupMember[[#This Row],[1. Identifiant interne d’exploitation agricole*]]),"",IF(ISERROR(MATCH(GroupMember[[#This Row],[1. Identifiant interne d’exploitation agricole*]],FarmUnit[1. Identifiant interne d’exploitation agricole*],0)),FALSE,TRUE))</f>
        <v>1</v>
      </c>
      <c r="AF296" s="178" t="str">
        <f t="shared" si="16"/>
        <v>GOSAN TROH EUGENE</v>
      </c>
      <c r="AG296" s="179" t="str">
        <f t="shared" si="17"/>
        <v>29/7/2021</v>
      </c>
      <c r="AH296" s="180">
        <f t="shared" si="19"/>
        <v>5</v>
      </c>
      <c r="AI296" s="181">
        <f t="shared" si="18"/>
        <v>0.16666666666666666</v>
      </c>
    </row>
    <row r="297" spans="1:35" ht="15">
      <c r="A297" s="170" t="s">
        <v>1794</v>
      </c>
      <c r="B297" s="171" t="s">
        <v>1794</v>
      </c>
      <c r="C297" s="171" t="s">
        <v>1794</v>
      </c>
      <c r="D297" s="171" t="s">
        <v>1251</v>
      </c>
      <c r="E297" s="171" t="s">
        <v>668</v>
      </c>
      <c r="F297" s="171" t="s">
        <v>669</v>
      </c>
      <c r="G297" s="171" t="s">
        <v>670</v>
      </c>
      <c r="H297" s="195">
        <v>2.5318000000000001</v>
      </c>
      <c r="I297" s="171" t="s">
        <v>671</v>
      </c>
      <c r="J297" s="57">
        <v>1</v>
      </c>
      <c r="K297" s="172">
        <v>2021</v>
      </c>
      <c r="L297" s="173" t="s">
        <v>1288</v>
      </c>
      <c r="M297" s="173" t="s">
        <v>1795</v>
      </c>
      <c r="N297" s="174" t="s">
        <v>1796</v>
      </c>
      <c r="O297" s="171" t="s">
        <v>1797</v>
      </c>
      <c r="P297" s="171" t="s">
        <v>720</v>
      </c>
      <c r="Q297" s="209">
        <v>1964</v>
      </c>
      <c r="R297" s="171">
        <v>5</v>
      </c>
      <c r="S297" s="171"/>
      <c r="T297" s="173"/>
      <c r="U297" s="171"/>
      <c r="V297" s="171"/>
      <c r="W297" s="171"/>
      <c r="X297" s="57">
        <v>0</v>
      </c>
      <c r="Y297" s="172">
        <v>2</v>
      </c>
      <c r="Z297" s="175" t="s">
        <v>1256</v>
      </c>
      <c r="AA297" s="176">
        <v>2021</v>
      </c>
      <c r="AB297" s="176">
        <v>8</v>
      </c>
      <c r="AC297" s="176">
        <v>4</v>
      </c>
      <c r="AD297" s="177" t="b">
        <f>IF(ISBLANK(GroupMember[[#This Row],[1. Identifiant interne d’exploitation agricole*]]),"",IF(ISERROR(MATCH(GroupMember[[#This Row],[1. Identifiant interne d’exploitation agricole*]],CertifiedCrop[1. Identifiant interne d’exploitation agricole*],0)),FALSE,TRUE))</f>
        <v>1</v>
      </c>
      <c r="AE297" s="177" t="b">
        <f>IF(ISBLANK(GroupMember[[#This Row],[1. Identifiant interne d’exploitation agricole*]]),"",IF(ISERROR(MATCH(GroupMember[[#This Row],[1. Identifiant interne d’exploitation agricole*]],FarmUnit[1. Identifiant interne d’exploitation agricole*],0)),FALSE,TRUE))</f>
        <v>1</v>
      </c>
      <c r="AF297" s="178" t="str">
        <f t="shared" si="16"/>
        <v>GUEU MARTINE</v>
      </c>
      <c r="AG297" s="179" t="str">
        <f t="shared" si="17"/>
        <v>4/8/2021</v>
      </c>
      <c r="AH297" s="180">
        <f t="shared" si="19"/>
        <v>3</v>
      </c>
      <c r="AI297" s="181">
        <f t="shared" si="18"/>
        <v>0.16666666666666666</v>
      </c>
    </row>
    <row r="298" spans="1:35" ht="15">
      <c r="A298" s="170" t="s">
        <v>1798</v>
      </c>
      <c r="B298" s="171" t="s">
        <v>1798</v>
      </c>
      <c r="C298" s="171" t="s">
        <v>1798</v>
      </c>
      <c r="D298" s="171" t="s">
        <v>1251</v>
      </c>
      <c r="E298" s="171" t="s">
        <v>668</v>
      </c>
      <c r="F298" s="171" t="s">
        <v>669</v>
      </c>
      <c r="G298" s="171" t="s">
        <v>670</v>
      </c>
      <c r="H298" s="195">
        <v>2</v>
      </c>
      <c r="I298" s="171" t="s">
        <v>671</v>
      </c>
      <c r="J298" s="57">
        <v>1</v>
      </c>
      <c r="K298" s="172">
        <v>2021</v>
      </c>
      <c r="L298" s="173" t="s">
        <v>1222</v>
      </c>
      <c r="M298" s="173" t="s">
        <v>1198</v>
      </c>
      <c r="N298" s="174" t="s">
        <v>884</v>
      </c>
      <c r="O298" s="171" t="s">
        <v>2583</v>
      </c>
      <c r="P298" s="171" t="s">
        <v>675</v>
      </c>
      <c r="Q298" s="209">
        <v>1989</v>
      </c>
      <c r="R298" s="171">
        <v>4</v>
      </c>
      <c r="S298" s="171"/>
      <c r="T298" s="173"/>
      <c r="U298" s="171"/>
      <c r="V298" s="171"/>
      <c r="W298" s="171"/>
      <c r="X298" s="57">
        <v>0</v>
      </c>
      <c r="Y298" s="172">
        <v>2</v>
      </c>
      <c r="Z298" s="175" t="s">
        <v>1256</v>
      </c>
      <c r="AA298" s="176">
        <v>2021</v>
      </c>
      <c r="AB298" s="176">
        <v>7</v>
      </c>
      <c r="AC298" s="176">
        <v>28</v>
      </c>
      <c r="AD298" s="177" t="b">
        <f>IF(ISBLANK(GroupMember[[#This Row],[1. Identifiant interne d’exploitation agricole*]]),"",IF(ISERROR(MATCH(GroupMember[[#This Row],[1. Identifiant interne d’exploitation agricole*]],CertifiedCrop[1. Identifiant interne d’exploitation agricole*],0)),FALSE,TRUE))</f>
        <v>1</v>
      </c>
      <c r="AE298" s="177" t="b">
        <f>IF(ISBLANK(GroupMember[[#This Row],[1. Identifiant interne d’exploitation agricole*]]),"",IF(ISERROR(MATCH(GroupMember[[#This Row],[1. Identifiant interne d’exploitation agricole*]],FarmUnit[1. Identifiant interne d’exploitation agricole*],0)),FALSE,TRUE))</f>
        <v>1</v>
      </c>
      <c r="AF298" s="178" t="str">
        <f t="shared" si="16"/>
        <v>SANKARA HAMADO</v>
      </c>
      <c r="AG298" s="179" t="str">
        <f t="shared" si="17"/>
        <v>28/7/2021</v>
      </c>
      <c r="AH298" s="180">
        <f t="shared" si="19"/>
        <v>2</v>
      </c>
      <c r="AI298" s="181">
        <f t="shared" si="18"/>
        <v>0.16666666666666666</v>
      </c>
    </row>
    <row r="299" spans="1:35" ht="15">
      <c r="A299" s="170" t="s">
        <v>1799</v>
      </c>
      <c r="B299" s="171" t="s">
        <v>1799</v>
      </c>
      <c r="C299" s="171" t="s">
        <v>1799</v>
      </c>
      <c r="D299" s="171" t="s">
        <v>1251</v>
      </c>
      <c r="E299" s="171" t="s">
        <v>668</v>
      </c>
      <c r="F299" s="171" t="s">
        <v>669</v>
      </c>
      <c r="G299" s="171" t="s">
        <v>670</v>
      </c>
      <c r="H299" s="195">
        <v>4.1612</v>
      </c>
      <c r="I299" s="171" t="s">
        <v>671</v>
      </c>
      <c r="J299" s="57">
        <v>1</v>
      </c>
      <c r="K299" s="172">
        <v>2021</v>
      </c>
      <c r="L299" s="173" t="s">
        <v>1377</v>
      </c>
      <c r="M299" s="173" t="s">
        <v>1800</v>
      </c>
      <c r="N299" s="174" t="s">
        <v>1801</v>
      </c>
      <c r="O299" s="171" t="s">
        <v>1802</v>
      </c>
      <c r="P299" s="171" t="s">
        <v>675</v>
      </c>
      <c r="Q299" s="209">
        <v>1970</v>
      </c>
      <c r="R299" s="171">
        <v>6</v>
      </c>
      <c r="S299" s="171"/>
      <c r="T299" s="173"/>
      <c r="U299" s="171"/>
      <c r="V299" s="171"/>
      <c r="W299" s="171"/>
      <c r="X299" s="57">
        <v>0</v>
      </c>
      <c r="Y299" s="172">
        <v>2</v>
      </c>
      <c r="Z299" s="175" t="s">
        <v>1256</v>
      </c>
      <c r="AA299" s="176">
        <v>2021</v>
      </c>
      <c r="AB299" s="176">
        <v>7</v>
      </c>
      <c r="AC299" s="176">
        <v>16</v>
      </c>
      <c r="AD299" s="177" t="b">
        <f>IF(ISBLANK(GroupMember[[#This Row],[1. Identifiant interne d’exploitation agricole*]]),"",IF(ISERROR(MATCH(GroupMember[[#This Row],[1. Identifiant interne d’exploitation agricole*]],CertifiedCrop[1. Identifiant interne d’exploitation agricole*],0)),FALSE,TRUE))</f>
        <v>1</v>
      </c>
      <c r="AE299" s="177" t="b">
        <f>IF(ISBLANK(GroupMember[[#This Row],[1. Identifiant interne d’exploitation agricole*]]),"",IF(ISERROR(MATCH(GroupMember[[#This Row],[1. Identifiant interne d’exploitation agricole*]],FarmUnit[1. Identifiant interne d’exploitation agricole*],0)),FALSE,TRUE))</f>
        <v>1</v>
      </c>
      <c r="AF299" s="178" t="str">
        <f t="shared" si="16"/>
        <v>DION PACOM</v>
      </c>
      <c r="AG299" s="179" t="str">
        <f t="shared" si="17"/>
        <v>16/7/2021</v>
      </c>
      <c r="AH299" s="180">
        <f t="shared" si="19"/>
        <v>5</v>
      </c>
      <c r="AI299" s="181">
        <f t="shared" si="18"/>
        <v>0.16666666666666666</v>
      </c>
    </row>
    <row r="300" spans="1:35" ht="15">
      <c r="A300" s="170" t="s">
        <v>1803</v>
      </c>
      <c r="B300" s="171" t="s">
        <v>1803</v>
      </c>
      <c r="C300" s="171" t="s">
        <v>1803</v>
      </c>
      <c r="D300" s="171" t="s">
        <v>1251</v>
      </c>
      <c r="E300" s="171" t="s">
        <v>668</v>
      </c>
      <c r="F300" s="171" t="s">
        <v>669</v>
      </c>
      <c r="G300" s="171" t="s">
        <v>670</v>
      </c>
      <c r="H300" s="195">
        <v>1.9445000000000001</v>
      </c>
      <c r="I300" s="171" t="s">
        <v>671</v>
      </c>
      <c r="J300" s="57">
        <v>1</v>
      </c>
      <c r="K300" s="172">
        <v>2021</v>
      </c>
      <c r="L300" s="173" t="s">
        <v>1804</v>
      </c>
      <c r="M300" s="173" t="s">
        <v>1805</v>
      </c>
      <c r="N300" s="174" t="s">
        <v>1806</v>
      </c>
      <c r="O300" s="171" t="s">
        <v>1807</v>
      </c>
      <c r="P300" s="171" t="s">
        <v>720</v>
      </c>
      <c r="Q300" s="209">
        <v>1958</v>
      </c>
      <c r="R300" s="171">
        <v>4</v>
      </c>
      <c r="S300" s="171"/>
      <c r="T300" s="173"/>
      <c r="U300" s="171"/>
      <c r="V300" s="171"/>
      <c r="W300" s="171"/>
      <c r="X300" s="57">
        <v>0</v>
      </c>
      <c r="Y300" s="172">
        <v>2</v>
      </c>
      <c r="Z300" s="175" t="s">
        <v>1256</v>
      </c>
      <c r="AA300" s="176">
        <v>2021</v>
      </c>
      <c r="AB300" s="176">
        <v>8</v>
      </c>
      <c r="AC300" s="176">
        <v>6</v>
      </c>
      <c r="AD300" s="177" t="b">
        <f>IF(ISBLANK(GroupMember[[#This Row],[1. Identifiant interne d’exploitation agricole*]]),"",IF(ISERROR(MATCH(GroupMember[[#This Row],[1. Identifiant interne d’exploitation agricole*]],CertifiedCrop[1. Identifiant interne d’exploitation agricole*],0)),FALSE,TRUE))</f>
        <v>1</v>
      </c>
      <c r="AE300" s="177" t="b">
        <f>IF(ISBLANK(GroupMember[[#This Row],[1. Identifiant interne d’exploitation agricole*]]),"",IF(ISERROR(MATCH(GroupMember[[#This Row],[1. Identifiant interne d’exploitation agricole*]],FarmUnit[1. Identifiant interne d’exploitation agricole*],0)),FALSE,TRUE))</f>
        <v>1</v>
      </c>
      <c r="AF300" s="178" t="str">
        <f t="shared" si="16"/>
        <v>DION  CHANTAL</v>
      </c>
      <c r="AG300" s="179" t="str">
        <f t="shared" si="17"/>
        <v>6/8/2021</v>
      </c>
      <c r="AH300" s="180">
        <f t="shared" si="19"/>
        <v>5</v>
      </c>
      <c r="AI300" s="181">
        <f t="shared" si="18"/>
        <v>0.16666666666666666</v>
      </c>
    </row>
    <row r="301" spans="1:35" ht="15">
      <c r="A301" s="170" t="s">
        <v>1808</v>
      </c>
      <c r="B301" s="171" t="s">
        <v>1808</v>
      </c>
      <c r="C301" s="171" t="s">
        <v>1808</v>
      </c>
      <c r="D301" s="171" t="s">
        <v>1251</v>
      </c>
      <c r="E301" s="171" t="s">
        <v>668</v>
      </c>
      <c r="F301" s="171" t="s">
        <v>669</v>
      </c>
      <c r="G301" s="171" t="s">
        <v>670</v>
      </c>
      <c r="H301" s="195">
        <v>3.9626000000000001</v>
      </c>
      <c r="I301" s="171" t="s">
        <v>671</v>
      </c>
      <c r="J301" s="57">
        <v>1</v>
      </c>
      <c r="K301" s="172">
        <v>2021</v>
      </c>
      <c r="L301" s="173" t="s">
        <v>1377</v>
      </c>
      <c r="M301" s="173" t="s">
        <v>1809</v>
      </c>
      <c r="N301" s="174" t="s">
        <v>1810</v>
      </c>
      <c r="O301" s="171" t="s">
        <v>1811</v>
      </c>
      <c r="P301" s="171" t="s">
        <v>675</v>
      </c>
      <c r="Q301" s="209">
        <v>1972</v>
      </c>
      <c r="R301" s="171">
        <v>11</v>
      </c>
      <c r="S301" s="171"/>
      <c r="T301" s="173"/>
      <c r="U301" s="171"/>
      <c r="V301" s="171"/>
      <c r="W301" s="171"/>
      <c r="X301" s="57">
        <v>0</v>
      </c>
      <c r="Y301" s="172">
        <v>2</v>
      </c>
      <c r="Z301" s="175" t="s">
        <v>1256</v>
      </c>
      <c r="AA301" s="176">
        <v>2021</v>
      </c>
      <c r="AB301" s="176">
        <v>7</v>
      </c>
      <c r="AC301" s="176">
        <v>8</v>
      </c>
      <c r="AD301" s="177" t="b">
        <f>IF(ISBLANK(GroupMember[[#This Row],[1. Identifiant interne d’exploitation agricole*]]),"",IF(ISERROR(MATCH(GroupMember[[#This Row],[1. Identifiant interne d’exploitation agricole*]],CertifiedCrop[1. Identifiant interne d’exploitation agricole*],0)),FALSE,TRUE))</f>
        <v>1</v>
      </c>
      <c r="AE301" s="177" t="b">
        <f>IF(ISBLANK(GroupMember[[#This Row],[1. Identifiant interne d’exploitation agricole*]]),"",IF(ISERROR(MATCH(GroupMember[[#This Row],[1. Identifiant interne d’exploitation agricole*]],FarmUnit[1. Identifiant interne d’exploitation agricole*],0)),FALSE,TRUE))</f>
        <v>1</v>
      </c>
      <c r="AF301" s="178" t="str">
        <f t="shared" si="16"/>
        <v>DION PASCAL</v>
      </c>
      <c r="AG301" s="179" t="str">
        <f t="shared" si="17"/>
        <v>8/7/2021</v>
      </c>
      <c r="AH301" s="180">
        <f t="shared" si="19"/>
        <v>6</v>
      </c>
      <c r="AI301" s="181">
        <f t="shared" si="18"/>
        <v>0.16666666666666666</v>
      </c>
    </row>
    <row r="302" spans="1:35" ht="15">
      <c r="A302" s="170" t="s">
        <v>1812</v>
      </c>
      <c r="B302" s="171" t="s">
        <v>1812</v>
      </c>
      <c r="C302" s="171" t="s">
        <v>1812</v>
      </c>
      <c r="D302" s="171" t="s">
        <v>1251</v>
      </c>
      <c r="E302" s="171" t="s">
        <v>668</v>
      </c>
      <c r="F302" s="171" t="s">
        <v>669</v>
      </c>
      <c r="G302" s="171" t="s">
        <v>670</v>
      </c>
      <c r="H302" s="195">
        <v>1.7067000000000001</v>
      </c>
      <c r="I302" s="171" t="s">
        <v>671</v>
      </c>
      <c r="J302" s="57">
        <v>1</v>
      </c>
      <c r="K302" s="172">
        <v>2021</v>
      </c>
      <c r="L302" s="173" t="s">
        <v>1813</v>
      </c>
      <c r="M302" s="173" t="s">
        <v>1814</v>
      </c>
      <c r="N302" s="174" t="s">
        <v>1815</v>
      </c>
      <c r="O302" s="171" t="s">
        <v>1816</v>
      </c>
      <c r="P302" s="171" t="s">
        <v>675</v>
      </c>
      <c r="Q302" s="209">
        <v>1987</v>
      </c>
      <c r="R302" s="171">
        <v>4</v>
      </c>
      <c r="S302" s="171"/>
      <c r="T302" s="173"/>
      <c r="U302" s="171"/>
      <c r="V302" s="171"/>
      <c r="W302" s="171"/>
      <c r="X302" s="57">
        <v>0</v>
      </c>
      <c r="Y302" s="172">
        <v>2</v>
      </c>
      <c r="Z302" s="175" t="s">
        <v>1256</v>
      </c>
      <c r="AA302" s="176">
        <v>2021</v>
      </c>
      <c r="AB302" s="176">
        <v>8</v>
      </c>
      <c r="AC302" s="176">
        <v>17</v>
      </c>
      <c r="AD302" s="177" t="b">
        <f>IF(ISBLANK(GroupMember[[#This Row],[1. Identifiant interne d’exploitation agricole*]]),"",IF(ISERROR(MATCH(GroupMember[[#This Row],[1. Identifiant interne d’exploitation agricole*]],CertifiedCrop[1. Identifiant interne d’exploitation agricole*],0)),FALSE,TRUE))</f>
        <v>1</v>
      </c>
      <c r="AE302" s="177" t="b">
        <f>IF(ISBLANK(GroupMember[[#This Row],[1. Identifiant interne d’exploitation agricole*]]),"",IF(ISERROR(MATCH(GroupMember[[#This Row],[1. Identifiant interne d’exploitation agricole*]],FarmUnit[1. Identifiant interne d’exploitation agricole*],0)),FALSE,TRUE))</f>
        <v>1</v>
      </c>
      <c r="AF302" s="178" t="str">
        <f t="shared" si="16"/>
        <v>MONH GUEU PERICLES</v>
      </c>
      <c r="AG302" s="179" t="str">
        <f t="shared" si="17"/>
        <v>17/8/2021</v>
      </c>
      <c r="AH302" s="180">
        <f t="shared" si="19"/>
        <v>4</v>
      </c>
      <c r="AI302" s="181">
        <f t="shared" si="18"/>
        <v>0.16666666666666666</v>
      </c>
    </row>
    <row r="303" spans="1:35" ht="15">
      <c r="A303" s="170" t="s">
        <v>1817</v>
      </c>
      <c r="B303" s="171" t="s">
        <v>1817</v>
      </c>
      <c r="C303" s="171" t="s">
        <v>1817</v>
      </c>
      <c r="D303" s="171" t="s">
        <v>1251</v>
      </c>
      <c r="E303" s="171" t="s">
        <v>668</v>
      </c>
      <c r="F303" s="171" t="s">
        <v>669</v>
      </c>
      <c r="G303" s="171" t="s">
        <v>670</v>
      </c>
      <c r="H303" s="195">
        <v>2.8405</v>
      </c>
      <c r="I303" s="171" t="s">
        <v>671</v>
      </c>
      <c r="J303" s="57">
        <v>1</v>
      </c>
      <c r="K303" s="172">
        <v>2021</v>
      </c>
      <c r="L303" s="173" t="s">
        <v>1500</v>
      </c>
      <c r="M303" s="173" t="s">
        <v>1818</v>
      </c>
      <c r="N303" s="174" t="s">
        <v>1819</v>
      </c>
      <c r="O303" s="171" t="s">
        <v>2584</v>
      </c>
      <c r="P303" s="171" t="s">
        <v>675</v>
      </c>
      <c r="Q303" s="209">
        <v>1995</v>
      </c>
      <c r="R303" s="171">
        <v>6</v>
      </c>
      <c r="S303" s="171"/>
      <c r="T303" s="173"/>
      <c r="U303" s="171"/>
      <c r="V303" s="171"/>
      <c r="W303" s="171"/>
      <c r="X303" s="57">
        <v>0</v>
      </c>
      <c r="Y303" s="172">
        <v>2</v>
      </c>
      <c r="Z303" s="175" t="s">
        <v>1256</v>
      </c>
      <c r="AA303" s="176">
        <v>2021</v>
      </c>
      <c r="AB303" s="176">
        <v>7</v>
      </c>
      <c r="AC303" s="176">
        <v>23</v>
      </c>
      <c r="AD303" s="177" t="b">
        <f>IF(ISBLANK(GroupMember[[#This Row],[1. Identifiant interne d’exploitation agricole*]]),"",IF(ISERROR(MATCH(GroupMember[[#This Row],[1. Identifiant interne d’exploitation agricole*]],CertifiedCrop[1. Identifiant interne d’exploitation agricole*],0)),FALSE,TRUE))</f>
        <v>1</v>
      </c>
      <c r="AE303" s="177" t="b">
        <f>IF(ISBLANK(GroupMember[[#This Row],[1. Identifiant interne d’exploitation agricole*]]),"",IF(ISERROR(MATCH(GroupMember[[#This Row],[1. Identifiant interne d’exploitation agricole*]],FarmUnit[1. Identifiant interne d’exploitation agricole*],0)),FALSE,TRUE))</f>
        <v>1</v>
      </c>
      <c r="AF303" s="178" t="str">
        <f t="shared" si="16"/>
        <v>TOTO MATHURIN</v>
      </c>
      <c r="AG303" s="179" t="str">
        <f t="shared" si="17"/>
        <v>23/7/2021</v>
      </c>
      <c r="AH303" s="180">
        <f t="shared" si="19"/>
        <v>4</v>
      </c>
      <c r="AI303" s="181">
        <f t="shared" si="18"/>
        <v>0.16666666666666666</v>
      </c>
    </row>
    <row r="304" spans="1:35" ht="15">
      <c r="A304" s="170" t="s">
        <v>1820</v>
      </c>
      <c r="B304" s="171" t="s">
        <v>1820</v>
      </c>
      <c r="C304" s="171" t="s">
        <v>1820</v>
      </c>
      <c r="D304" s="171" t="s">
        <v>1251</v>
      </c>
      <c r="E304" s="171" t="s">
        <v>668</v>
      </c>
      <c r="F304" s="171" t="s">
        <v>669</v>
      </c>
      <c r="G304" s="171" t="s">
        <v>670</v>
      </c>
      <c r="H304" s="195">
        <v>1.7925</v>
      </c>
      <c r="I304" s="171" t="s">
        <v>671</v>
      </c>
      <c r="J304" s="57">
        <v>1</v>
      </c>
      <c r="K304" s="172">
        <v>2021</v>
      </c>
      <c r="L304" s="173" t="s">
        <v>1821</v>
      </c>
      <c r="M304" s="173" t="s">
        <v>1675</v>
      </c>
      <c r="N304" s="174" t="s">
        <v>1822</v>
      </c>
      <c r="O304" s="171" t="s">
        <v>2585</v>
      </c>
      <c r="P304" s="171" t="s">
        <v>675</v>
      </c>
      <c r="Q304" s="209">
        <v>1993</v>
      </c>
      <c r="R304" s="171">
        <v>5</v>
      </c>
      <c r="S304" s="171"/>
      <c r="T304" s="173"/>
      <c r="U304" s="171"/>
      <c r="V304" s="171"/>
      <c r="W304" s="171"/>
      <c r="X304" s="57">
        <v>0</v>
      </c>
      <c r="Y304" s="172">
        <v>2</v>
      </c>
      <c r="Z304" s="175" t="s">
        <v>1256</v>
      </c>
      <c r="AA304" s="176">
        <v>2021</v>
      </c>
      <c r="AB304" s="176">
        <v>7</v>
      </c>
      <c r="AC304" s="176">
        <v>19</v>
      </c>
      <c r="AD304" s="177" t="b">
        <f>IF(ISBLANK(GroupMember[[#This Row],[1. Identifiant interne d’exploitation agricole*]]),"",IF(ISERROR(MATCH(GroupMember[[#This Row],[1. Identifiant interne d’exploitation agricole*]],CertifiedCrop[1. Identifiant interne d’exploitation agricole*],0)),FALSE,TRUE))</f>
        <v>1</v>
      </c>
      <c r="AE304" s="177" t="b">
        <f>IF(ISBLANK(GroupMember[[#This Row],[1. Identifiant interne d’exploitation agricole*]]),"",IF(ISERROR(MATCH(GroupMember[[#This Row],[1. Identifiant interne d’exploitation agricole*]],FarmUnit[1. Identifiant interne d’exploitation agricole*],0)),FALSE,TRUE))</f>
        <v>1</v>
      </c>
      <c r="AF304" s="178" t="str">
        <f t="shared" si="16"/>
        <v>SADIA KOUE  HERVE</v>
      </c>
      <c r="AG304" s="179" t="str">
        <f t="shared" si="17"/>
        <v>19/7/2021</v>
      </c>
      <c r="AH304" s="180">
        <f t="shared" si="19"/>
        <v>2</v>
      </c>
      <c r="AI304" s="181">
        <f t="shared" si="18"/>
        <v>0.16666666666666666</v>
      </c>
    </row>
    <row r="305" spans="1:35" ht="15">
      <c r="A305" s="170" t="s">
        <v>1823</v>
      </c>
      <c r="B305" s="171" t="s">
        <v>1823</v>
      </c>
      <c r="C305" s="171" t="s">
        <v>1823</v>
      </c>
      <c r="D305" s="171" t="s">
        <v>1251</v>
      </c>
      <c r="E305" s="171" t="s">
        <v>668</v>
      </c>
      <c r="F305" s="171" t="s">
        <v>669</v>
      </c>
      <c r="G305" s="171" t="s">
        <v>670</v>
      </c>
      <c r="H305" s="195">
        <v>2.3383000000000003</v>
      </c>
      <c r="I305" s="171" t="s">
        <v>671</v>
      </c>
      <c r="J305" s="57">
        <v>1</v>
      </c>
      <c r="K305" s="172">
        <v>2021</v>
      </c>
      <c r="L305" s="173" t="s">
        <v>1252</v>
      </c>
      <c r="M305" s="173" t="s">
        <v>1824</v>
      </c>
      <c r="N305" s="174" t="s">
        <v>1819</v>
      </c>
      <c r="O305" s="171" t="s">
        <v>2586</v>
      </c>
      <c r="P305" s="171" t="s">
        <v>720</v>
      </c>
      <c r="Q305" s="209">
        <v>1999</v>
      </c>
      <c r="R305" s="171">
        <v>4</v>
      </c>
      <c r="S305" s="171"/>
      <c r="T305" s="173"/>
      <c r="U305" s="171"/>
      <c r="V305" s="171"/>
      <c r="W305" s="171"/>
      <c r="X305" s="57">
        <v>0</v>
      </c>
      <c r="Y305" s="172">
        <v>2</v>
      </c>
      <c r="Z305" s="175" t="s">
        <v>1256</v>
      </c>
      <c r="AA305" s="176">
        <v>2021</v>
      </c>
      <c r="AB305" s="176">
        <v>7</v>
      </c>
      <c r="AC305" s="176">
        <v>20</v>
      </c>
      <c r="AD305" s="177" t="b">
        <f>IF(ISBLANK(GroupMember[[#This Row],[1. Identifiant interne d’exploitation agricole*]]),"",IF(ISERROR(MATCH(GroupMember[[#This Row],[1. Identifiant interne d’exploitation agricole*]],CertifiedCrop[1. Identifiant interne d’exploitation agricole*],0)),FALSE,TRUE))</f>
        <v>1</v>
      </c>
      <c r="AE305" s="177" t="b">
        <f>IF(ISBLANK(GroupMember[[#This Row],[1. Identifiant interne d’exploitation agricole*]]),"",IF(ISERROR(MATCH(GroupMember[[#This Row],[1. Identifiant interne d’exploitation agricole*]],FarmUnit[1. Identifiant interne d’exploitation agricole*],0)),FALSE,TRUE))</f>
        <v>1</v>
      </c>
      <c r="AF305" s="178" t="str">
        <f t="shared" si="16"/>
        <v>OULAI MIRIELLE</v>
      </c>
      <c r="AG305" s="179" t="str">
        <f t="shared" si="17"/>
        <v>20/7/2021</v>
      </c>
      <c r="AH305" s="180">
        <f t="shared" si="19"/>
        <v>5</v>
      </c>
      <c r="AI305" s="181">
        <f t="shared" si="18"/>
        <v>0.16666666666666666</v>
      </c>
    </row>
    <row r="306" spans="1:35" ht="15">
      <c r="A306" s="170" t="s">
        <v>1825</v>
      </c>
      <c r="B306" s="171" t="s">
        <v>1825</v>
      </c>
      <c r="C306" s="171" t="s">
        <v>1825</v>
      </c>
      <c r="D306" s="171" t="s">
        <v>1251</v>
      </c>
      <c r="E306" s="171" t="s">
        <v>668</v>
      </c>
      <c r="F306" s="171" t="s">
        <v>669</v>
      </c>
      <c r="G306" s="171" t="s">
        <v>670</v>
      </c>
      <c r="H306" s="195">
        <v>2.1314000000000002</v>
      </c>
      <c r="I306" s="171" t="s">
        <v>671</v>
      </c>
      <c r="J306" s="57">
        <v>1</v>
      </c>
      <c r="K306" s="172">
        <v>2021</v>
      </c>
      <c r="L306" s="173" t="s">
        <v>1735</v>
      </c>
      <c r="M306" s="173" t="s">
        <v>1621</v>
      </c>
      <c r="N306" s="174" t="s">
        <v>884</v>
      </c>
      <c r="O306" s="171" t="s">
        <v>1826</v>
      </c>
      <c r="P306" s="171" t="s">
        <v>675</v>
      </c>
      <c r="Q306" s="209">
        <v>1976</v>
      </c>
      <c r="R306" s="171">
        <v>6</v>
      </c>
      <c r="S306" s="171"/>
      <c r="T306" s="173"/>
      <c r="U306" s="171"/>
      <c r="V306" s="171"/>
      <c r="W306" s="171"/>
      <c r="X306" s="57">
        <v>0</v>
      </c>
      <c r="Y306" s="172">
        <v>2</v>
      </c>
      <c r="Z306" s="175" t="s">
        <v>1256</v>
      </c>
      <c r="AA306" s="176">
        <v>2021</v>
      </c>
      <c r="AB306" s="176">
        <v>8</v>
      </c>
      <c r="AC306" s="176">
        <v>11</v>
      </c>
      <c r="AD306" s="177" t="b">
        <f>IF(ISBLANK(GroupMember[[#This Row],[1. Identifiant interne d’exploitation agricole*]]),"",IF(ISERROR(MATCH(GroupMember[[#This Row],[1. Identifiant interne d’exploitation agricole*]],CertifiedCrop[1. Identifiant interne d’exploitation agricole*],0)),FALSE,TRUE))</f>
        <v>1</v>
      </c>
      <c r="AE306" s="177" t="b">
        <f>IF(ISBLANK(GroupMember[[#This Row],[1. Identifiant interne d’exploitation agricole*]]),"",IF(ISERROR(MATCH(GroupMember[[#This Row],[1. Identifiant interne d’exploitation agricole*]],FarmUnit[1. Identifiant interne d’exploitation agricole*],0)),FALSE,TRUE))</f>
        <v>1</v>
      </c>
      <c r="AF306" s="178" t="str">
        <f t="shared" si="16"/>
        <v>OULAI  MARTIN</v>
      </c>
      <c r="AG306" s="179" t="str">
        <f t="shared" si="17"/>
        <v>11/8/2021</v>
      </c>
      <c r="AH306" s="180">
        <f t="shared" si="19"/>
        <v>4</v>
      </c>
      <c r="AI306" s="181">
        <f t="shared" si="18"/>
        <v>0.16666666666666666</v>
      </c>
    </row>
    <row r="307" spans="1:35" ht="15">
      <c r="A307" s="170" t="s">
        <v>1827</v>
      </c>
      <c r="B307" s="171" t="s">
        <v>1827</v>
      </c>
      <c r="C307" s="171" t="s">
        <v>1827</v>
      </c>
      <c r="D307" s="171" t="s">
        <v>1251</v>
      </c>
      <c r="E307" s="171" t="s">
        <v>668</v>
      </c>
      <c r="F307" s="171" t="s">
        <v>669</v>
      </c>
      <c r="G307" s="171" t="s">
        <v>670</v>
      </c>
      <c r="H307" s="195">
        <v>2.4828000000000001</v>
      </c>
      <c r="I307" s="171" t="s">
        <v>671</v>
      </c>
      <c r="J307" s="57">
        <v>1</v>
      </c>
      <c r="K307" s="172">
        <v>2021</v>
      </c>
      <c r="L307" s="173" t="s">
        <v>1642</v>
      </c>
      <c r="M307" s="173" t="s">
        <v>1346</v>
      </c>
      <c r="N307" s="174" t="s">
        <v>1828</v>
      </c>
      <c r="O307" s="171" t="s">
        <v>1829</v>
      </c>
      <c r="P307" s="171" t="s">
        <v>675</v>
      </c>
      <c r="Q307" s="209">
        <v>1971</v>
      </c>
      <c r="R307" s="171">
        <v>4</v>
      </c>
      <c r="S307" s="171"/>
      <c r="T307" s="173"/>
      <c r="U307" s="171"/>
      <c r="V307" s="171"/>
      <c r="W307" s="171"/>
      <c r="X307" s="57">
        <v>0</v>
      </c>
      <c r="Y307" s="172">
        <v>2</v>
      </c>
      <c r="Z307" s="175" t="s">
        <v>1256</v>
      </c>
      <c r="AA307" s="176">
        <v>2021</v>
      </c>
      <c r="AB307" s="176">
        <v>7</v>
      </c>
      <c r="AC307" s="176">
        <v>5</v>
      </c>
      <c r="AD307" s="177" t="b">
        <f>IF(ISBLANK(GroupMember[[#This Row],[1. Identifiant interne d’exploitation agricole*]]),"",IF(ISERROR(MATCH(GroupMember[[#This Row],[1. Identifiant interne d’exploitation agricole*]],CertifiedCrop[1. Identifiant interne d’exploitation agricole*],0)),FALSE,TRUE))</f>
        <v>1</v>
      </c>
      <c r="AE307" s="177" t="b">
        <f>IF(ISBLANK(GroupMember[[#This Row],[1. Identifiant interne d’exploitation agricole*]]),"",IF(ISERROR(MATCH(GroupMember[[#This Row],[1. Identifiant interne d’exploitation agricole*]],FarmUnit[1. Identifiant interne d’exploitation agricole*],0)),FALSE,TRUE))</f>
        <v>1</v>
      </c>
      <c r="AF307" s="178" t="str">
        <f t="shared" ref="AF307" si="20">IFERROR(CONCATENATE(L307," ",M307),"")</f>
        <v>DOUEU VINCENT</v>
      </c>
      <c r="AG307" s="179" t="str">
        <f t="shared" ref="AG307" si="21">CONCATENATE(AC307,"/",AB307,"/",AA307)</f>
        <v>5/7/2021</v>
      </c>
      <c r="AH307" s="180">
        <f t="shared" si="19"/>
        <v>5</v>
      </c>
      <c r="AI307" s="181">
        <f t="shared" ref="AI307" si="22">IF((X307+Y307/12)&lt;0,"",(X307+Y307/12))</f>
        <v>0.16666666666666666</v>
      </c>
    </row>
  </sheetData>
  <sheetProtection insertRows="0" deleteRows="0"/>
  <mergeCells count="5">
    <mergeCell ref="B1:K1"/>
    <mergeCell ref="X1:Y1"/>
    <mergeCell ref="S1:W1"/>
    <mergeCell ref="L1:R1"/>
    <mergeCell ref="Z1:AC1"/>
  </mergeCells>
  <conditionalFormatting sqref="AD3:AE307">
    <cfRule type="containsText" dxfId="108" priority="2" operator="containsText" text="FALSE">
      <formula>NOT(ISERROR(SEARCH("FALSE",AD3)))</formula>
    </cfRule>
  </conditionalFormatting>
  <conditionalFormatting sqref="O3:O307">
    <cfRule type="duplicateValues" dxfId="107" priority="1"/>
  </conditionalFormatting>
  <dataValidations xWindow="1076" yWindow="497" count="29">
    <dataValidation allowBlank="1" showInputMessage="1" showErrorMessage="1" promptTitle="This should not be higher than 6" prompt="The same internal inspector shall not inspect more than 6 farms per day. &#10;&#10;Please see Farm Requirements 1.4.2" sqref="AH2"/>
    <dataValidation allowBlank="1" showInputMessage="1" showErrorMessage="1" promptTitle="Farm operator name and last name" prompt="Grey means names are empty. Yellow means two or more of the same. &#10;&#10;The same group member should not repeat. All the farms of the same farm operator/group member should be in one line. &#10;&#10;You can describe the different crops and farm units in tabs 2 and 3." sqref="AF2"/>
    <dataValidation allowBlank="1" showInputMessage="1" showErrorMessage="1" promptTitle="Is a worker list required?" prompt="Farm Req 1.2.5: worker list if 5 or more full-time workers &amp; for all large farms.&#10;Yellow means more than 4.5 workers, assuming temp workers work 1 month/year, permanent =12 m/y.&#10;Please check actual worker time if yellow. You may use the Workers tab." sqref="AI2"/>
    <dataValidation allowBlank="1" showInputMessage="1" showErrorMessage="1" promptTitle="Mandatory Information" prompt="This should be unique for each Group Member.&#10;&#10;Repeated IDs may generate errors uploading the file.&#10;This must be the same ID you use in your internal documents &amp; management system. It could be the same as the national ID if that is what you use internally." sqref="A2"/>
    <dataValidation allowBlank="1" showInputMessage="1" showErrorMessage="1" promptTitle="Mandatory if available" prompt="If the farm has a National Farm ID, present this information as a mandatory requirement. &#10;&#10;Obligatory for every group member in Brazil and Turkey as real example.&#10;&#10;" sqref="B2"/>
    <dataValidation allowBlank="1" showInputMessage="1" showErrorMessage="1" promptTitle="Definition in Glossary" prompt="Indicate if the farm is &#10;- Large farm or &#10;- Small farm&#10;&#10;For definition of Small Farm: please check Annex 1. Glossary." sqref="I2"/>
    <dataValidation allowBlank="1" showInputMessage="1" showErrorMessage="1" promptTitle="RA 2020 Certification" prompt="Please add the year when this Group Member joined the group for the RA 2020 Certification Program (earliest 2021)." sqref="K2"/>
    <dataValidation allowBlank="1" showInputMessage="1" showErrorMessage="1" promptTitle="Mandatory if available" prompt="If National ID (in this case, Farmer Operator ID) is available, please present it here.&#10;&#10;It should not be bigger than 50 characteres (including spaces)." sqref="O2"/>
    <dataValidation allowBlank="1" showInputMessage="1" showErrorMessage="1" promptTitle="National ID" prompt="If National ID (in this case, Farm Owner ID) is available, please present it here.&#10;&#10;It should not be bigger than 50 characteres (including spaces)." sqref="V2"/>
    <dataValidation allowBlank="1" showInputMessage="1" showErrorMessage="1" promptTitle="Permanent Workers" prompt="Make sure to present only entire numbers. Use data format as &quot;Number&quot;&#10;&#10;Do not present decimals (exemple: 0,5)." sqref="X2"/>
    <dataValidation allowBlank="1" showInputMessage="1" showErrorMessage="1" promptTitle="Temporary Workers" prompt="Make sure to present only entire numbers. Use data format as &quot;Number&quot;&#10;&#10;Do not present decimals (exemple: 0,5)." sqref="Y2"/>
    <dataValidation allowBlank="1" showInputMessage="1" showErrorMessage="1" promptTitle="Full Name" prompt="Please, make sure you present the Internal Inspector's full name and spell it the same way every time." sqref="Z2"/>
    <dataValidation allowBlank="1" showInputMessage="1" showErrorMessage="1" promptTitle="Month" prompt="Please put a number between 1 and 12" sqref="AB2"/>
    <dataValidation allowBlank="1" showInputMessage="1" showErrorMessage="1" promptTitle="Day" prompt="Please put a number between 1 and 31" sqref="AC2"/>
    <dataValidation allowBlank="1" showInputMessage="1" showErrorMessage="1" promptTitle="Total farm area" prompt="All of the farm, includingpastures, protected areas and crops that are not certified" sqref="H2"/>
    <dataValidation allowBlank="1" showInputMessage="1" showErrorMessage="1" promptTitle="Mandatory Information" prompt="Please present here an ID that is used in your internal documentation to identify the farm.&#10;&#10;This number should be unique for each farm. It may be the same as the group member ID, if that is what you use internally.&#10;" sqref="C2"/>
    <dataValidation allowBlank="1" showInputMessage="1" showErrorMessage="1" promptTitle="Mandatory Information" prompt="Please indicate the village closest to the farm" sqref="D2"/>
    <dataValidation allowBlank="1" showInputMessage="1" showErrorMessage="1" promptTitle="Mandatory Information" prompt="The number of farm units should include all farm units, including pastures, protected areas, and farm units with non-certified crops." sqref="J2"/>
    <dataValidation allowBlank="1" showInputMessage="1" showErrorMessage="1" promptTitle="Who is the Farm Operator?" prompt="It is the person responsible to carry out certification and agricultural activities in the farm, who is involved on the daily tasks of the farm.&#10;&#10;Also considered the Certification Responsible. " sqref="L1:R1"/>
    <dataValidation allowBlank="1" showInputMessage="1" showErrorMessage="1" promptTitle="Who is the Farm Owner" prompt="It is the person that owns the land and is the legal responsible for the farm. &#10;Please only fill in if different from the farm operator/group member.&#10;If the same, you can leave it blank.&#10;" sqref="S1:W1"/>
    <dataValidation allowBlank="1" showInputMessage="1" showErrorMessage="1" promptTitle="Internal Inspection Date" prompt="Please check if the Internal Inspection date is correct.&#10;It should only contain numbers, no names of months.&#10;&#10;If not, please review columns AA, AB and AC. " sqref="AG2"/>
    <dataValidation allowBlank="1" showInputMessage="1" showErrorMessage="1" promptTitle="City closest to the farm" prompt="Please indicate the city closest to the farm, if applicable." sqref="E2"/>
    <dataValidation allowBlank="1" showInputMessage="1" showErrorMessage="1" promptTitle="Mandatory field" prompt="Please indicate the region/district/state/province of the country that the farm is located in. Please ensure the same spelling each time." sqref="F2"/>
    <dataValidation allowBlank="1" showInputMessage="1" showErrorMessage="1" prompt="If your group has defined internal inspection regions, or sub-groups, please indicate which group member falls into which region/sub-group." sqref="G2"/>
    <dataValidation allowBlank="1" showInputMessage="1" showErrorMessage="1" promptTitle="Mandatory if available" prompt="If the group member has a phone number, you must indicate it.&#10;&#10;You must add the information of the farm operator if is not the member who manage the farm." sqref="N2"/>
    <dataValidation allowBlank="1" showInputMessage="1" showErrorMessage="1" promptTitle="Mandatory value" prompt="e.g. 1984" sqref="Q2"/>
    <dataValidation allowBlank="1" showInputMessage="1" showErrorMessage="1" promptTitle="Mandatory value" prompt="Releated to family size. e.g. 5" sqref="R2"/>
    <dataValidation allowBlank="1" showInputMessage="1" showErrorMessage="1" promptTitle="Mandatory value" prompt="e.g. male&#10;e.g. female" sqref="P2 W2"/>
    <dataValidation allowBlank="1" showInputMessage="1" showErrorMessage="1" promptTitle="No need to fill in" prompt="The information indicate here will be automatically presented. There is no need to fill in the colunms.&#10;&#10;You need to interpretate it was described below." sqref="AG1:AI1"/>
  </dataValidations>
  <pageMargins left="0.7" right="0.7" top="0.75" bottom="0.75" header="0.3" footer="0.3"/>
  <pageSetup paperSize="9" scale="11" orientation="landscape"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sheetPr codeName="Sheet1">
    <tabColor rgb="FF94BA29"/>
  </sheetPr>
  <dimension ref="A1:AC307"/>
  <sheetViews>
    <sheetView zoomScale="85" zoomScaleNormal="85" workbookViewId="0">
      <pane xSplit="1" ySplit="2" topLeftCell="B284" activePane="bottomRight" state="frozen"/>
      <selection pane="topRight" activeCell="B4" sqref="B4"/>
      <selection pane="bottomLeft" activeCell="B4" sqref="B4"/>
      <selection pane="bottomRight" activeCell="S129" sqref="S129"/>
    </sheetView>
  </sheetViews>
  <sheetFormatPr baseColWidth="10" defaultColWidth="8.7109375" defaultRowHeight="13.5"/>
  <cols>
    <col min="1" max="1" width="17.7109375" style="6" customWidth="1"/>
    <col min="2" max="2" width="16.5703125" style="6" customWidth="1"/>
    <col min="3" max="3" width="18.42578125" style="6" customWidth="1"/>
    <col min="4" max="4" width="16.7109375" style="9" customWidth="1"/>
    <col min="5" max="5" width="25.42578125" style="6" customWidth="1"/>
    <col min="6" max="6" width="21" style="6" customWidth="1"/>
    <col min="7" max="7" width="26.7109375" style="6" customWidth="1"/>
    <col min="8" max="8" width="25.7109375" style="6" customWidth="1"/>
    <col min="9" max="9" width="29.28515625" style="6" customWidth="1"/>
    <col min="10" max="10" width="19.7109375" style="77" customWidth="1"/>
    <col min="11" max="11" width="24.5703125" style="77" customWidth="1"/>
    <col min="12" max="12" width="21.28515625" style="77" customWidth="1"/>
    <col min="13" max="13" width="20.28515625" style="77" customWidth="1"/>
    <col min="14" max="14" width="20.7109375" style="77" customWidth="1"/>
    <col min="15" max="15" width="16.28515625" style="77" customWidth="1"/>
    <col min="16" max="16" width="16.5703125" style="77" customWidth="1"/>
    <col min="17" max="17" width="12.7109375" style="77" customWidth="1"/>
    <col min="18" max="18" width="27.28515625" style="77" customWidth="1"/>
    <col min="19" max="19" width="8.7109375" style="208"/>
    <col min="20" max="24" width="8.7109375" style="6"/>
    <col min="25" max="16384" width="8.7109375" style="4"/>
  </cols>
  <sheetData>
    <row r="1" spans="1:29" s="91" customFormat="1" ht="21.6" customHeight="1">
      <c r="A1" s="237" t="s">
        <v>151</v>
      </c>
      <c r="B1" s="237"/>
      <c r="C1" s="237"/>
      <c r="D1" s="237"/>
      <c r="E1" s="237"/>
      <c r="F1" s="237"/>
      <c r="G1" s="237"/>
      <c r="H1" s="237"/>
      <c r="I1" s="237"/>
      <c r="J1" s="89"/>
      <c r="K1" s="141" t="s">
        <v>139</v>
      </c>
      <c r="L1" s="141" t="s">
        <v>140</v>
      </c>
      <c r="M1" s="141" t="s">
        <v>141</v>
      </c>
      <c r="N1" s="89"/>
      <c r="O1" s="89"/>
      <c r="P1" s="89"/>
      <c r="Q1" s="89"/>
      <c r="R1" s="89"/>
      <c r="S1" s="206"/>
      <c r="T1" s="90"/>
      <c r="U1" s="90"/>
      <c r="V1" s="90"/>
      <c r="W1" s="90"/>
      <c r="X1" s="90"/>
    </row>
    <row r="2" spans="1:29" s="91" customFormat="1" ht="87.6" customHeight="1">
      <c r="A2" s="83" t="s">
        <v>100</v>
      </c>
      <c r="B2" s="92" t="s">
        <v>143</v>
      </c>
      <c r="C2" s="92" t="s">
        <v>144</v>
      </c>
      <c r="D2" s="93" t="s">
        <v>145</v>
      </c>
      <c r="E2" s="156" t="s">
        <v>146</v>
      </c>
      <c r="F2" s="156" t="s">
        <v>147</v>
      </c>
      <c r="G2" s="157" t="s">
        <v>148</v>
      </c>
      <c r="H2" s="157" t="s">
        <v>149</v>
      </c>
      <c r="I2" s="157" t="s">
        <v>150</v>
      </c>
      <c r="J2" s="141" t="s">
        <v>152</v>
      </c>
      <c r="K2" s="141" t="s">
        <v>153</v>
      </c>
      <c r="L2" s="158" t="s">
        <v>154</v>
      </c>
      <c r="M2" s="158" t="s">
        <v>155</v>
      </c>
      <c r="N2" s="158" t="s">
        <v>156</v>
      </c>
      <c r="O2" s="158" t="s">
        <v>157</v>
      </c>
      <c r="P2" s="158" t="s">
        <v>158</v>
      </c>
      <c r="Q2" s="158" t="s">
        <v>159</v>
      </c>
      <c r="R2" s="158" t="s">
        <v>160</v>
      </c>
      <c r="S2" s="207"/>
      <c r="T2" s="202" t="s">
        <v>2587</v>
      </c>
      <c r="U2" s="202" t="s">
        <v>2588</v>
      </c>
      <c r="V2" s="202" t="s">
        <v>2589</v>
      </c>
      <c r="W2" s="202" t="s">
        <v>2590</v>
      </c>
      <c r="X2" s="202" t="s">
        <v>2591</v>
      </c>
      <c r="Y2" s="202" t="s">
        <v>2592</v>
      </c>
      <c r="Z2" s="202" t="s">
        <v>2593</v>
      </c>
      <c r="AA2" s="202" t="s">
        <v>2594</v>
      </c>
      <c r="AB2" s="202" t="s">
        <v>2595</v>
      </c>
      <c r="AC2" s="202" t="s">
        <v>2596</v>
      </c>
    </row>
    <row r="3" spans="1:29" ht="15">
      <c r="A3" s="69" t="s">
        <v>666</v>
      </c>
      <c r="B3" s="69" t="s">
        <v>1830</v>
      </c>
      <c r="C3" s="69"/>
      <c r="D3" s="8">
        <v>2.1</v>
      </c>
      <c r="E3" s="71">
        <v>855.03445786043039</v>
      </c>
      <c r="F3" s="71">
        <v>1303.470890421456</v>
      </c>
      <c r="G3" s="69">
        <v>0</v>
      </c>
      <c r="H3" s="70">
        <v>0</v>
      </c>
      <c r="I3" s="70">
        <v>0</v>
      </c>
      <c r="J3" s="143" t="b">
        <f>IF(ISBLANK(CertifiedCrop[[#This Row],[1. Identifiant interne d’exploitation agricole*]]),"",IF(ISERROR(MATCH(CertifiedCrop[[#This Row],[1. Identifiant interne d’exploitation agricole*]],GroupMember[1. Identifiant interne d’exploitation agricole*],0)),FALSE,TRUE))</f>
        <v>1</v>
      </c>
      <c r="K3" s="143" t="b">
        <f t="array" ref="K3">IF(ISBLANK(CertifiedCrop[[#This Row],[2. Produit agricole certifié*]]),"",IF(ISERROR(MATCH(1,(#REF!=CertifiedCrop[[#This Row],[2. Produit agricole certifié*]])*(#REF!=CertifiedCrop[[#This Row],[3. Variété**]]),0)),FALSE,TRUE))</f>
        <v>0</v>
      </c>
      <c r="L3" s="22" t="str">
        <f t="shared" ref="L3:L66" si="0">IF((F3-G3)&lt;0,"!","")</f>
        <v/>
      </c>
      <c r="M3" s="72" t="str">
        <f t="shared" ref="M3:M66" si="1">IFERROR(IF((F3-G3)/G3&gt;25%,"!",IF((F3-G3)/G3&lt;-25%,"!","")),"")</f>
        <v/>
      </c>
      <c r="N3" s="72" t="str">
        <f t="shared" ref="N3:N66" si="2">IFERROR(IF((G3-H3)/H3&gt;25%,"!",IF((G3-H3)/H3&lt;-25%,"!","")),"")</f>
        <v/>
      </c>
      <c r="O3" s="73">
        <f t="shared" ref="O3:O66" si="3">IFERROR(E3/D3,"")</f>
        <v>407.15926564782399</v>
      </c>
      <c r="P3" s="73">
        <f t="shared" ref="P3:P66" si="4">IFERROR(F3/D3,"")</f>
        <v>620.70042401021715</v>
      </c>
      <c r="Q3" s="10" t="str">
        <f>IFERROR((VLOOKUP(A3,GM_Table,8,FALSE)-SUMIFS(D:D,A:A,A3,B:B,B3,C:C,C3)),"")</f>
        <v/>
      </c>
      <c r="R3" s="10" t="str">
        <f>IFERROR(CONCATENATE(VLOOKUP(A3,GM_Table,12,FALSE)," ",(VLOOKUP(A3,GM_Table,13,FALSE))),"")</f>
        <v/>
      </c>
      <c r="T3" s="203">
        <v>620.70042401021715</v>
      </c>
      <c r="U3" s="203">
        <v>0</v>
      </c>
      <c r="V3" s="204" t="s">
        <v>2597</v>
      </c>
      <c r="W3" s="203">
        <v>554.19680715197956</v>
      </c>
      <c r="X3" s="205">
        <v>-10.714285714285721</v>
      </c>
      <c r="Y3" s="204" t="s">
        <v>2597</v>
      </c>
      <c r="Z3" s="204" t="s">
        <v>2597</v>
      </c>
      <c r="AA3" s="204" t="s">
        <v>2597</v>
      </c>
      <c r="AB3" s="204" t="s">
        <v>2597</v>
      </c>
      <c r="AC3" s="204" t="s">
        <v>2597</v>
      </c>
    </row>
    <row r="4" spans="1:29" ht="15">
      <c r="A4" s="69" t="s">
        <v>677</v>
      </c>
      <c r="B4" s="69" t="s">
        <v>1830</v>
      </c>
      <c r="C4" s="69"/>
      <c r="D4" s="8">
        <v>2.1160000000000001</v>
      </c>
      <c r="E4" s="71">
        <v>918.92046926409978</v>
      </c>
      <c r="F4" s="71">
        <v>1313.4282964744827</v>
      </c>
      <c r="G4" s="69">
        <v>0</v>
      </c>
      <c r="H4" s="70">
        <v>0</v>
      </c>
      <c r="I4" s="70">
        <v>0</v>
      </c>
      <c r="J4" s="144" t="b">
        <f>IF(ISBLANK(CertifiedCrop[[#This Row],[1. Identifiant interne d’exploitation agricole*]]),"",IF(ISERROR(MATCH(CertifiedCrop[[#This Row],[1. Identifiant interne d’exploitation agricole*]],GroupMember[1. Identifiant interne d’exploitation agricole*],0)),FALSE,TRUE))</f>
        <v>1</v>
      </c>
      <c r="K4" s="144" t="b">
        <f t="array" ref="K4">IF(ISBLANK(CertifiedCrop[[#This Row],[2. Produit agricole certifié*]]),"",IF(ISERROR(MATCH(1,(#REF!=CertifiedCrop[[#This Row],[2. Produit agricole certifié*]])*(#REF!=CertifiedCrop[[#This Row],[3. Variété**]]),0)),FALSE,TRUE))</f>
        <v>0</v>
      </c>
      <c r="L4" s="22" t="str">
        <f t="shared" si="0"/>
        <v/>
      </c>
      <c r="M4" s="72" t="str">
        <f t="shared" si="1"/>
        <v/>
      </c>
      <c r="N4" s="72" t="str">
        <f t="shared" si="2"/>
        <v/>
      </c>
      <c r="O4" s="73">
        <f t="shared" si="3"/>
        <v>434.27243348965015</v>
      </c>
      <c r="P4" s="73">
        <f t="shared" si="4"/>
        <v>620.71280551724135</v>
      </c>
      <c r="Q4" s="10" t="str">
        <f>IFERROR((VLOOKUP(A4,GM_Table,8,FALSE)-SUMIFS(D:D,A:A,A4,B:B,B4,C:C,C4)),"")</f>
        <v/>
      </c>
      <c r="R4" s="10" t="str">
        <f>IFERROR(CONCATENATE(VLOOKUP(A4,GM_Table,12,FALSE)," ",(VLOOKUP(A4,GM_Table,13,FALSE))),"")</f>
        <v/>
      </c>
      <c r="T4" s="203">
        <v>620.71280551724135</v>
      </c>
      <c r="U4" s="203">
        <v>0</v>
      </c>
      <c r="V4" s="204" t="s">
        <v>2597</v>
      </c>
      <c r="W4" s="203">
        <v>554.20786206896548</v>
      </c>
      <c r="X4" s="205">
        <v>-10.714285714285715</v>
      </c>
      <c r="Y4" s="204" t="s">
        <v>2597</v>
      </c>
      <c r="Z4" s="204" t="s">
        <v>2597</v>
      </c>
      <c r="AA4" s="204" t="s">
        <v>2597</v>
      </c>
      <c r="AB4" s="204" t="s">
        <v>2597</v>
      </c>
      <c r="AC4" s="204" t="s">
        <v>2597</v>
      </c>
    </row>
    <row r="5" spans="1:29" ht="15">
      <c r="A5" s="69" t="s">
        <v>682</v>
      </c>
      <c r="B5" s="69" t="s">
        <v>1830</v>
      </c>
      <c r="C5" s="69"/>
      <c r="D5" s="8">
        <v>14.41</v>
      </c>
      <c r="E5" s="71">
        <v>6278.0737054990987</v>
      </c>
      <c r="F5" s="71">
        <v>8893</v>
      </c>
      <c r="G5" s="69">
        <v>0</v>
      </c>
      <c r="H5" s="70">
        <v>0</v>
      </c>
      <c r="I5" s="70">
        <v>0</v>
      </c>
      <c r="J5" s="144" t="b">
        <f>IF(ISBLANK(CertifiedCrop[[#This Row],[1. Identifiant interne d’exploitation agricole*]]),"",IF(ISERROR(MATCH(CertifiedCrop[[#This Row],[1. Identifiant interne d’exploitation agricole*]],GroupMember[1. Identifiant interne d’exploitation agricole*],0)),FALSE,TRUE))</f>
        <v>1</v>
      </c>
      <c r="K5" s="144" t="b">
        <f t="array" ref="K5">IF(ISBLANK(CertifiedCrop[[#This Row],[2. Produit agricole certifié*]]),"",IF(ISERROR(MATCH(1,(#REF!=CertifiedCrop[[#This Row],[2. Produit agricole certifié*]])*(#REF!=CertifiedCrop[[#This Row],[3. Variété**]]),0)),FALSE,TRUE))</f>
        <v>0</v>
      </c>
      <c r="L5" s="22" t="str">
        <f t="shared" si="0"/>
        <v/>
      </c>
      <c r="M5" s="72" t="str">
        <f t="shared" si="1"/>
        <v/>
      </c>
      <c r="N5" s="72" t="str">
        <f t="shared" si="2"/>
        <v/>
      </c>
      <c r="O5" s="73">
        <f t="shared" si="3"/>
        <v>435.67478872304639</v>
      </c>
      <c r="P5" s="73">
        <f t="shared" si="4"/>
        <v>617.14087439278273</v>
      </c>
      <c r="Q5" s="10" t="str">
        <f>IFERROR((VLOOKUP(A5,GM_Table,8,FALSE)-SUMIFS(D:D,A:A,A5,B:B,B5,C:C,C5)),"")</f>
        <v/>
      </c>
      <c r="R5" s="10"/>
      <c r="T5" s="203">
        <v>630.22644597701151</v>
      </c>
      <c r="U5" s="203">
        <v>0</v>
      </c>
      <c r="V5" s="204" t="s">
        <v>2597</v>
      </c>
      <c r="W5" s="203">
        <v>562.70218390804598</v>
      </c>
      <c r="X5" s="205">
        <v>-10.714285714285715</v>
      </c>
      <c r="Y5" s="204" t="s">
        <v>2597</v>
      </c>
      <c r="Z5" s="204" t="s">
        <v>2597</v>
      </c>
      <c r="AA5" s="204" t="s">
        <v>2597</v>
      </c>
      <c r="AB5" s="204" t="s">
        <v>2597</v>
      </c>
      <c r="AC5" s="204" t="s">
        <v>2597</v>
      </c>
    </row>
    <row r="6" spans="1:29" ht="15">
      <c r="A6" s="69" t="s">
        <v>686</v>
      </c>
      <c r="B6" s="69" t="s">
        <v>1830</v>
      </c>
      <c r="C6" s="69"/>
      <c r="D6" s="8">
        <v>2.7370999999999999</v>
      </c>
      <c r="E6" s="71">
        <v>1253.1318395957835</v>
      </c>
      <c r="F6" s="71">
        <v>1505.2685650155099</v>
      </c>
      <c r="G6" s="69">
        <v>0</v>
      </c>
      <c r="H6" s="70">
        <v>0</v>
      </c>
      <c r="I6" s="70">
        <v>0</v>
      </c>
      <c r="J6" s="144" t="b">
        <f>IF(ISBLANK(CertifiedCrop[[#This Row],[1. Identifiant interne d’exploitation agricole*]]),"",IF(ISERROR(MATCH(CertifiedCrop[[#This Row],[1. Identifiant interne d’exploitation agricole*]],GroupMember[1. Identifiant interne d’exploitation agricole*],0)),FALSE,TRUE))</f>
        <v>1</v>
      </c>
      <c r="K6" s="144" t="b">
        <f t="array" ref="K6">IF(ISBLANK(CertifiedCrop[[#This Row],[2. Produit agricole certifié*]]),"",IF(ISERROR(MATCH(1,(#REF!=CertifiedCrop[[#This Row],[2. Produit agricole certifié*]])*(#REF!=CertifiedCrop[[#This Row],[3. Variété**]]),0)),FALSE,TRUE))</f>
        <v>0</v>
      </c>
      <c r="L6" s="22" t="str">
        <f t="shared" si="0"/>
        <v/>
      </c>
      <c r="M6" s="72" t="str">
        <f t="shared" si="1"/>
        <v/>
      </c>
      <c r="N6" s="72" t="str">
        <f t="shared" si="2"/>
        <v/>
      </c>
      <c r="O6" s="73">
        <f t="shared" si="3"/>
        <v>457.83195337977554</v>
      </c>
      <c r="P6" s="73">
        <f t="shared" si="4"/>
        <v>549.95015345274555</v>
      </c>
      <c r="Q6" s="10" t="str">
        <f>IFERROR((VLOOKUP(A6,GM_Table,8,FALSE)-SUMIFS(D:D,A:A,A6,B:B,B6,C:C,C6)),"")</f>
        <v/>
      </c>
      <c r="R6" s="10"/>
      <c r="T6" s="203">
        <v>621.19344014303965</v>
      </c>
      <c r="U6" s="203">
        <v>0</v>
      </c>
      <c r="V6" s="204" t="s">
        <v>2597</v>
      </c>
      <c r="W6" s="203">
        <v>554.63700012771403</v>
      </c>
      <c r="X6" s="205">
        <v>-10.714285714285705</v>
      </c>
      <c r="Y6" s="204" t="s">
        <v>2597</v>
      </c>
      <c r="Z6" s="204" t="s">
        <v>2597</v>
      </c>
      <c r="AA6" s="204" t="s">
        <v>2597</v>
      </c>
      <c r="AB6" s="204" t="s">
        <v>2597</v>
      </c>
      <c r="AC6" s="204" t="s">
        <v>2597</v>
      </c>
    </row>
    <row r="7" spans="1:29" ht="15">
      <c r="A7" s="69" t="s">
        <v>690</v>
      </c>
      <c r="B7" s="69" t="s">
        <v>1830</v>
      </c>
      <c r="C7" s="69"/>
      <c r="D7" s="8">
        <v>4.0831999999999997</v>
      </c>
      <c r="E7" s="71">
        <v>1892.7312032402795</v>
      </c>
      <c r="F7" s="71">
        <v>2240.7104085257502</v>
      </c>
      <c r="G7" s="69">
        <v>0</v>
      </c>
      <c r="H7" s="70">
        <v>0</v>
      </c>
      <c r="I7" s="70">
        <v>0</v>
      </c>
      <c r="J7" s="144" t="b">
        <f>IF(ISBLANK(CertifiedCrop[[#This Row],[1. Identifiant interne d’exploitation agricole*]]),"",IF(ISERROR(MATCH(CertifiedCrop[[#This Row],[1. Identifiant interne d’exploitation agricole*]],GroupMember[1. Identifiant interne d’exploitation agricole*],0)),FALSE,TRUE))</f>
        <v>1</v>
      </c>
      <c r="K7" s="144" t="b">
        <f t="array" ref="K7">IF(ISBLANK(CertifiedCrop[[#This Row],[2. Produit agricole certifié*]]),"",IF(ISERROR(MATCH(1,(#REF!=CertifiedCrop[[#This Row],[2. Produit agricole certifié*]])*(#REF!=CertifiedCrop[[#This Row],[3. Variété**]]),0)),FALSE,TRUE))</f>
        <v>0</v>
      </c>
      <c r="L7" s="22" t="str">
        <f t="shared" si="0"/>
        <v/>
      </c>
      <c r="M7" s="72" t="str">
        <f t="shared" si="1"/>
        <v/>
      </c>
      <c r="N7" s="72" t="str">
        <f t="shared" si="2"/>
        <v/>
      </c>
      <c r="O7" s="73">
        <f t="shared" si="3"/>
        <v>463.54114499419074</v>
      </c>
      <c r="P7" s="73">
        <f t="shared" si="4"/>
        <v>548.76332497201952</v>
      </c>
      <c r="Q7" s="10" t="str">
        <f>IFERROR((VLOOKUP(A7,GM_Table,8,FALSE)-SUMIFS(D:D,A:A,A7,B:B,B7,C:C,C7)),"")</f>
        <v/>
      </c>
      <c r="R7" s="10" t="str">
        <f>IFERROR(CONCATENATE(VLOOKUP(A7,GM_Table,12,FALSE)," ",(VLOOKUP(A7,GM_Table,13,FALSE))),"")</f>
        <v/>
      </c>
      <c r="T7" s="203">
        <v>622.23511180587479</v>
      </c>
      <c r="U7" s="203">
        <v>0</v>
      </c>
      <c r="V7" s="204" t="s">
        <v>2597</v>
      </c>
      <c r="W7" s="203">
        <v>555.56706411238827</v>
      </c>
      <c r="X7" s="205">
        <v>-10.714285714285705</v>
      </c>
      <c r="Y7" s="204" t="s">
        <v>2597</v>
      </c>
      <c r="Z7" s="204" t="s">
        <v>2597</v>
      </c>
      <c r="AA7" s="204" t="s">
        <v>2597</v>
      </c>
      <c r="AB7" s="204" t="s">
        <v>2597</v>
      </c>
      <c r="AC7" s="204" t="s">
        <v>2597</v>
      </c>
    </row>
    <row r="8" spans="1:29" ht="15">
      <c r="A8" s="69" t="s">
        <v>695</v>
      </c>
      <c r="B8" s="69" t="s">
        <v>1830</v>
      </c>
      <c r="C8" s="69"/>
      <c r="D8" s="8">
        <v>15.86</v>
      </c>
      <c r="E8" s="71">
        <v>7395.9022556165273</v>
      </c>
      <c r="F8" s="71">
        <v>9772</v>
      </c>
      <c r="G8" s="69">
        <v>0</v>
      </c>
      <c r="H8" s="70">
        <v>0</v>
      </c>
      <c r="I8" s="70">
        <v>0</v>
      </c>
      <c r="J8" s="144" t="b">
        <f>IF(ISBLANK(CertifiedCrop[[#This Row],[1. Identifiant interne d’exploitation agricole*]]),"",IF(ISERROR(MATCH(CertifiedCrop[[#This Row],[1. Identifiant interne d’exploitation agricole*]],GroupMember[1. Identifiant interne d’exploitation agricole*],0)),FALSE,TRUE))</f>
        <v>1</v>
      </c>
      <c r="K8" s="144" t="b">
        <f t="array" ref="K8">IF(ISBLANK(CertifiedCrop[[#This Row],[2. Produit agricole certifié*]]),"",IF(ISERROR(MATCH(1,(#REF!=CertifiedCrop[[#This Row],[2. Produit agricole certifié*]])*(#REF!=CertifiedCrop[[#This Row],[3. Variété**]]),0)),FALSE,TRUE))</f>
        <v>0</v>
      </c>
      <c r="L8" s="22" t="str">
        <f t="shared" si="0"/>
        <v/>
      </c>
      <c r="M8" s="72" t="str">
        <f t="shared" si="1"/>
        <v/>
      </c>
      <c r="N8" s="72" t="str">
        <f t="shared" si="2"/>
        <v/>
      </c>
      <c r="O8" s="73">
        <f t="shared" si="3"/>
        <v>466.32422797077726</v>
      </c>
      <c r="P8" s="73">
        <f t="shared" si="4"/>
        <v>616.14123581336696</v>
      </c>
      <c r="Q8" s="10" t="str">
        <f>IFERROR((VLOOKUP(A8,GM_Table,8,FALSE)-SUMIFS(D:D,A:A,A8,B:B,B8,C:C,C8)),"")</f>
        <v/>
      </c>
      <c r="R8" s="10" t="str">
        <f>IFERROR(CONCATENATE(VLOOKUP(A8,GM_Table,12,FALSE)," ",(VLOOKUP(A8,GM_Table,13,FALSE))),"")</f>
        <v/>
      </c>
      <c r="S8" s="208" t="e">
        <f>(#REF!-#REF!)/#REF!</f>
        <v>#REF!</v>
      </c>
      <c r="T8" s="203">
        <v>631.34852005108553</v>
      </c>
      <c r="U8" s="203">
        <v>0</v>
      </c>
      <c r="V8" s="204" t="s">
        <v>2597</v>
      </c>
      <c r="W8" s="203">
        <v>514.08743056250944</v>
      </c>
      <c r="X8" s="203">
        <v>-18.573115444871547</v>
      </c>
      <c r="Y8" s="204" t="s">
        <v>2597</v>
      </c>
      <c r="Z8" s="204" t="s">
        <v>2598</v>
      </c>
      <c r="AA8" s="204" t="s">
        <v>2597</v>
      </c>
      <c r="AB8" s="204" t="s">
        <v>2597</v>
      </c>
      <c r="AC8" s="204" t="s">
        <v>2597</v>
      </c>
    </row>
    <row r="9" spans="1:29" ht="15">
      <c r="A9" s="69" t="s">
        <v>700</v>
      </c>
      <c r="B9" s="69" t="s">
        <v>1830</v>
      </c>
      <c r="C9" s="69"/>
      <c r="D9" s="8">
        <v>1.2861</v>
      </c>
      <c r="E9" s="71">
        <v>600.1013777768303</v>
      </c>
      <c r="F9" s="71">
        <v>797.47278866028523</v>
      </c>
      <c r="G9" s="69">
        <v>0</v>
      </c>
      <c r="H9" s="70">
        <v>0</v>
      </c>
      <c r="I9" s="70">
        <v>0</v>
      </c>
      <c r="J9" s="144" t="b">
        <f>IF(ISBLANK(CertifiedCrop[[#This Row],[1. Identifiant interne d’exploitation agricole*]]),"",IF(ISERROR(MATCH(CertifiedCrop[[#This Row],[1. Identifiant interne d’exploitation agricole*]],GroupMember[1. Identifiant interne d’exploitation agricole*],0)),FALSE,TRUE))</f>
        <v>1</v>
      </c>
      <c r="K9" s="144" t="b">
        <f t="array" ref="K9">IF(ISBLANK(CertifiedCrop[[#This Row],[2. Produit agricole certifié*]]),"",IF(ISERROR(MATCH(1,(#REF!=CertifiedCrop[[#This Row],[2. Produit agricole certifié*]])*(#REF!=CertifiedCrop[[#This Row],[3. Variété**]]),0)),FALSE,TRUE))</f>
        <v>0</v>
      </c>
      <c r="L9" s="22" t="str">
        <f t="shared" si="0"/>
        <v/>
      </c>
      <c r="M9" s="72" t="str">
        <f t="shared" si="1"/>
        <v/>
      </c>
      <c r="N9" s="72" t="str">
        <f t="shared" si="2"/>
        <v/>
      </c>
      <c r="O9" s="73">
        <f t="shared" si="3"/>
        <v>466.60553438832926</v>
      </c>
      <c r="P9" s="73">
        <f t="shared" si="4"/>
        <v>620.07059222477665</v>
      </c>
      <c r="Q9" s="10" t="str">
        <f>IFERROR((VLOOKUP(A9,GM_Table,8,FALSE)-SUMIFS(D:D,A:A,A9,B:B,B9,C:C,C9)),"")</f>
        <v/>
      </c>
      <c r="R9" s="10" t="str">
        <f>IFERROR(CONCATENATE(VLOOKUP(A9,GM_Table,12,FALSE)," ",(VLOOKUP(A9,GM_Table,13,FALSE))),"")</f>
        <v/>
      </c>
      <c r="T9" s="203">
        <v>620.07059222477665</v>
      </c>
      <c r="U9" s="203">
        <v>0</v>
      </c>
      <c r="V9" s="204" t="s">
        <v>2597</v>
      </c>
      <c r="W9" s="203">
        <v>553.63445734355059</v>
      </c>
      <c r="X9" s="205">
        <v>-10.714285714285712</v>
      </c>
      <c r="Y9" s="204" t="s">
        <v>2597</v>
      </c>
      <c r="Z9" s="204" t="s">
        <v>2597</v>
      </c>
      <c r="AA9" s="204" t="s">
        <v>2597</v>
      </c>
      <c r="AB9" s="204" t="s">
        <v>2597</v>
      </c>
      <c r="AC9" s="204" t="s">
        <v>2597</v>
      </c>
    </row>
    <row r="10" spans="1:29" ht="15">
      <c r="A10" s="69" t="s">
        <v>705</v>
      </c>
      <c r="B10" s="69" t="s">
        <v>1830</v>
      </c>
      <c r="C10" s="69"/>
      <c r="D10" s="8">
        <v>2.6172</v>
      </c>
      <c r="E10" s="71">
        <v>1224.2266192960603</v>
      </c>
      <c r="F10" s="71">
        <v>1455.54463747148</v>
      </c>
      <c r="G10" s="69">
        <v>0</v>
      </c>
      <c r="H10" s="70">
        <v>0</v>
      </c>
      <c r="I10" s="70">
        <v>0</v>
      </c>
      <c r="J10" s="144" t="b">
        <f>IF(ISBLANK(CertifiedCrop[[#This Row],[1. Identifiant interne d’exploitation agricole*]]),"",IF(ISERROR(MATCH(CertifiedCrop[[#This Row],[1. Identifiant interne d’exploitation agricole*]],GroupMember[1. Identifiant interne d’exploitation agricole*],0)),FALSE,TRUE))</f>
        <v>1</v>
      </c>
      <c r="K10" s="144" t="b">
        <f t="array" ref="K10">IF(ISBLANK(CertifiedCrop[[#This Row],[2. Produit agricole certifié*]]),"",IF(ISERROR(MATCH(1,(#REF!=CertifiedCrop[[#This Row],[2. Produit agricole certifié*]])*(#REF!=CertifiedCrop[[#This Row],[3. Variété**]]),0)),FALSE,TRUE))</f>
        <v>0</v>
      </c>
      <c r="L10" s="22" t="str">
        <f t="shared" si="0"/>
        <v/>
      </c>
      <c r="M10" s="72" t="str">
        <f t="shared" si="1"/>
        <v/>
      </c>
      <c r="N10" s="72" t="str">
        <f t="shared" si="2"/>
        <v/>
      </c>
      <c r="O10" s="73">
        <f t="shared" si="3"/>
        <v>467.76196671865364</v>
      </c>
      <c r="P10" s="73">
        <f t="shared" si="4"/>
        <v>556.14574257660092</v>
      </c>
      <c r="Q10" s="10" t="str">
        <f>IFERROR((VLOOKUP(A10,GM_Table,8,FALSE)-SUMIFS(D:D,A:A,A10,B:B,B10,C:C,C10)),"")</f>
        <v/>
      </c>
      <c r="R10" s="10" t="str">
        <f>IFERROR(CONCATENATE(VLOOKUP(A10,GM_Table,12,FALSE)," ",(VLOOKUP(A10,GM_Table,13,FALSE))),"")</f>
        <v/>
      </c>
      <c r="T10" s="203">
        <v>621.10065622477646</v>
      </c>
      <c r="U10" s="203">
        <v>0</v>
      </c>
      <c r="V10" s="204" t="s">
        <v>2597</v>
      </c>
      <c r="W10" s="203">
        <v>554.5541573435504</v>
      </c>
      <c r="X10" s="205">
        <v>-10.714285714285715</v>
      </c>
      <c r="Y10" s="204" t="s">
        <v>2597</v>
      </c>
      <c r="Z10" s="204" t="s">
        <v>2597</v>
      </c>
      <c r="AA10" s="204" t="s">
        <v>2597</v>
      </c>
      <c r="AB10" s="204" t="s">
        <v>2597</v>
      </c>
      <c r="AC10" s="204" t="s">
        <v>2597</v>
      </c>
    </row>
    <row r="11" spans="1:29" ht="15">
      <c r="A11" s="69" t="s">
        <v>710</v>
      </c>
      <c r="B11" s="69" t="s">
        <v>1830</v>
      </c>
      <c r="C11" s="69"/>
      <c r="D11" s="8">
        <v>1.5907</v>
      </c>
      <c r="E11" s="71">
        <v>744.28646184624529</v>
      </c>
      <c r="F11" s="71">
        <v>986.72123962556952</v>
      </c>
      <c r="G11" s="69">
        <v>0</v>
      </c>
      <c r="H11" s="70">
        <v>0</v>
      </c>
      <c r="I11" s="70">
        <v>0</v>
      </c>
      <c r="J11" s="144" t="b">
        <f>IF(ISBLANK(CertifiedCrop[[#This Row],[1. Identifiant interne d’exploitation agricole*]]),"",IF(ISERROR(MATCH(CertifiedCrop[[#This Row],[1. Identifiant interne d’exploitation agricole*]],GroupMember[1. Identifiant interne d’exploitation agricole*],0)),FALSE,TRUE))</f>
        <v>1</v>
      </c>
      <c r="K11" s="144" t="b">
        <f t="array" ref="K11">IF(ISBLANK(CertifiedCrop[[#This Row],[2. Produit agricole certifié*]]),"",IF(ISERROR(MATCH(1,(#REF!=CertifiedCrop[[#This Row],[2. Produit agricole certifié*]])*(#REF!=CertifiedCrop[[#This Row],[3. Variété**]]),0)),FALSE,TRUE))</f>
        <v>0</v>
      </c>
      <c r="L11" s="22" t="str">
        <f t="shared" si="0"/>
        <v/>
      </c>
      <c r="M11" s="72" t="str">
        <f t="shared" si="1"/>
        <v/>
      </c>
      <c r="N11" s="72" t="str">
        <f t="shared" si="2"/>
        <v/>
      </c>
      <c r="O11" s="73">
        <f t="shared" si="3"/>
        <v>467.89869984676261</v>
      </c>
      <c r="P11" s="73">
        <f t="shared" si="4"/>
        <v>620.30630516475105</v>
      </c>
      <c r="Q11" s="10" t="str">
        <f>IFERROR((VLOOKUP(A11,GM_Table,8,FALSE)-SUMIFS(D:D,A:A,A11,B:B,B11,C:C,C11)),"")</f>
        <v/>
      </c>
      <c r="R11" s="10" t="str">
        <f>IFERROR(CONCATENATE(VLOOKUP(A11,GM_Table,12,FALSE)," ",(VLOOKUP(A11,GM_Table,13,FALSE))),"")</f>
        <v/>
      </c>
      <c r="T11" s="203">
        <v>620.30630516475105</v>
      </c>
      <c r="U11" s="203">
        <v>0</v>
      </c>
      <c r="V11" s="204" t="s">
        <v>2597</v>
      </c>
      <c r="W11" s="203">
        <v>553.84491532567063</v>
      </c>
      <c r="X11" s="205">
        <v>-10.714285714285706</v>
      </c>
      <c r="Y11" s="204" t="s">
        <v>2597</v>
      </c>
      <c r="Z11" s="204" t="s">
        <v>2597</v>
      </c>
      <c r="AA11" s="204" t="s">
        <v>2597</v>
      </c>
      <c r="AB11" s="204" t="s">
        <v>2597</v>
      </c>
      <c r="AC11" s="204" t="s">
        <v>2597</v>
      </c>
    </row>
    <row r="12" spans="1:29" ht="15">
      <c r="A12" s="69" t="s">
        <v>715</v>
      </c>
      <c r="B12" s="69" t="s">
        <v>1830</v>
      </c>
      <c r="C12" s="69"/>
      <c r="D12" s="8">
        <v>1.2591000000000001</v>
      </c>
      <c r="E12" s="71">
        <v>589.26046785812957</v>
      </c>
      <c r="F12" s="71">
        <v>780.70457529531961</v>
      </c>
      <c r="G12" s="69">
        <v>0</v>
      </c>
      <c r="H12" s="70">
        <v>0</v>
      </c>
      <c r="I12" s="70">
        <v>0</v>
      </c>
      <c r="J12" s="144" t="b">
        <f>IF(ISBLANK(CertifiedCrop[[#This Row],[1. Identifiant interne d’exploitation agricole*]]),"",IF(ISERROR(MATCH(CertifiedCrop[[#This Row],[1. Identifiant interne d’exploitation agricole*]],GroupMember[1. Identifiant interne d’exploitation agricole*],0)),FALSE,TRUE))</f>
        <v>1</v>
      </c>
      <c r="K12" s="144" t="b">
        <f t="array" ref="K12">IF(ISBLANK(CertifiedCrop[[#This Row],[2. Produit agricole certifié*]]),"",IF(ISERROR(MATCH(1,(#REF!=CertifiedCrop[[#This Row],[2. Produit agricole certifié*]])*(#REF!=CertifiedCrop[[#This Row],[3. Variété**]]),0)),FALSE,TRUE))</f>
        <v>0</v>
      </c>
      <c r="L12" s="22" t="str">
        <f t="shared" si="0"/>
        <v/>
      </c>
      <c r="M12" s="72" t="str">
        <f t="shared" si="1"/>
        <v/>
      </c>
      <c r="N12" s="72" t="str">
        <f t="shared" si="2"/>
        <v/>
      </c>
      <c r="O12" s="73">
        <f t="shared" si="3"/>
        <v>468.00132464310184</v>
      </c>
      <c r="P12" s="73">
        <f t="shared" si="4"/>
        <v>620.04969843167305</v>
      </c>
      <c r="Q12" s="10" t="str">
        <f>IFERROR((VLOOKUP(A12,GM_Table,8,FALSE)-SUMIFS(D:D,A:A,A12,B:B,B12,C:C,C12)),"")</f>
        <v/>
      </c>
      <c r="R12" s="10" t="str">
        <f>IFERROR(CONCATENATE(VLOOKUP(A12,GM_Table,12,FALSE)," ",(VLOOKUP(A12,GM_Table,13,FALSE))),"")</f>
        <v/>
      </c>
      <c r="T12" s="203">
        <v>620.04969843167305</v>
      </c>
      <c r="U12" s="203">
        <v>0</v>
      </c>
      <c r="V12" s="204" t="s">
        <v>2597</v>
      </c>
      <c r="W12" s="203">
        <v>553.61580217113669</v>
      </c>
      <c r="X12" s="205">
        <v>-10.714285714285708</v>
      </c>
      <c r="Y12" s="204" t="s">
        <v>2597</v>
      </c>
      <c r="Z12" s="204" t="s">
        <v>2597</v>
      </c>
      <c r="AA12" s="204" t="s">
        <v>2597</v>
      </c>
      <c r="AB12" s="204" t="s">
        <v>2597</v>
      </c>
      <c r="AC12" s="204" t="s">
        <v>2597</v>
      </c>
    </row>
    <row r="13" spans="1:29" ht="15">
      <c r="A13" s="69" t="s">
        <v>721</v>
      </c>
      <c r="B13" s="69" t="s">
        <v>1830</v>
      </c>
      <c r="C13" s="69"/>
      <c r="D13" s="8">
        <v>0.67530000000000001</v>
      </c>
      <c r="E13" s="71">
        <v>316.06801351212607</v>
      </c>
      <c r="F13" s="71">
        <v>366.15678282520162</v>
      </c>
      <c r="G13" s="69">
        <v>0</v>
      </c>
      <c r="H13" s="70">
        <v>0</v>
      </c>
      <c r="I13" s="70">
        <v>0</v>
      </c>
      <c r="J13" s="144" t="b">
        <f>IF(ISBLANK(CertifiedCrop[[#This Row],[1. Identifiant interne d’exploitation agricole*]]),"",IF(ISERROR(MATCH(CertifiedCrop[[#This Row],[1. Identifiant interne d’exploitation agricole*]],GroupMember[1. Identifiant interne d’exploitation agricole*],0)),FALSE,TRUE))</f>
        <v>1</v>
      </c>
      <c r="K13" s="144" t="b">
        <f t="array" ref="K13">IF(ISBLANK(CertifiedCrop[[#This Row],[2. Produit agricole certifié*]]),"",IF(ISERROR(MATCH(1,(#REF!=CertifiedCrop[[#This Row],[2. Produit agricole certifié*]])*(#REF!=CertifiedCrop[[#This Row],[3. Variété**]]),0)),FALSE,TRUE))</f>
        <v>0</v>
      </c>
      <c r="L13" s="22" t="str">
        <f t="shared" si="0"/>
        <v/>
      </c>
      <c r="M13" s="72" t="str">
        <f t="shared" si="1"/>
        <v/>
      </c>
      <c r="N13" s="72" t="str">
        <f t="shared" si="2"/>
        <v/>
      </c>
      <c r="O13" s="73">
        <f t="shared" si="3"/>
        <v>468.04089073319426</v>
      </c>
      <c r="P13" s="73">
        <f t="shared" si="4"/>
        <v>542.21350929246501</v>
      </c>
      <c r="Q13" s="10" t="str">
        <f>IFERROR((VLOOKUP(A13,GM_Table,8,FALSE)-SUMIFS(D:D,A:A,A13,B:B,B13,C:C,C13)),"")</f>
        <v/>
      </c>
      <c r="R13" s="10" t="str">
        <f>IFERROR(CONCATENATE(VLOOKUP(A13,GM_Table,12,FALSE)," ",(VLOOKUP(A13,GM_Table,13,FALSE))),"")</f>
        <v/>
      </c>
      <c r="T13" s="203">
        <v>542.21350929246501</v>
      </c>
      <c r="U13" s="203">
        <v>0</v>
      </c>
      <c r="V13" s="204" t="s">
        <v>2597</v>
      </c>
      <c r="W13" s="203">
        <v>484.11920472541522</v>
      </c>
      <c r="X13" s="205">
        <v>-10.714285714285708</v>
      </c>
      <c r="Y13" s="204" t="s">
        <v>2597</v>
      </c>
      <c r="Z13" s="204" t="s">
        <v>2597</v>
      </c>
      <c r="AA13" s="204" t="s">
        <v>2597</v>
      </c>
      <c r="AB13" s="204" t="s">
        <v>2597</v>
      </c>
      <c r="AC13" s="204" t="s">
        <v>2597</v>
      </c>
    </row>
    <row r="14" spans="1:29" ht="15">
      <c r="A14" s="69" t="s">
        <v>725</v>
      </c>
      <c r="B14" s="69" t="s">
        <v>1830</v>
      </c>
      <c r="C14" s="69"/>
      <c r="D14" s="8">
        <v>8.4649000000000001</v>
      </c>
      <c r="E14" s="71">
        <v>3962.0517467119071</v>
      </c>
      <c r="F14" s="71">
        <v>5205.43</v>
      </c>
      <c r="G14" s="69">
        <v>0</v>
      </c>
      <c r="H14" s="70">
        <v>0</v>
      </c>
      <c r="I14" s="70">
        <v>0</v>
      </c>
      <c r="J14" s="144" t="b">
        <f>IF(ISBLANK(CertifiedCrop[[#This Row],[1. Identifiant interne d’exploitation agricole*]]),"",IF(ISERROR(MATCH(CertifiedCrop[[#This Row],[1. Identifiant interne d’exploitation agricole*]],GroupMember[1. Identifiant interne d’exploitation agricole*],0)),FALSE,TRUE))</f>
        <v>1</v>
      </c>
      <c r="K14" s="144" t="b">
        <f t="array" ref="K14">IF(ISBLANK(CertifiedCrop[[#This Row],[2. Produit agricole certifié*]]),"",IF(ISERROR(MATCH(1,(#REF!=CertifiedCrop[[#This Row],[2. Produit agricole certifié*]])*(#REF!=CertifiedCrop[[#This Row],[3. Variété**]]),0)),FALSE,TRUE))</f>
        <v>0</v>
      </c>
      <c r="L14" s="22" t="str">
        <f t="shared" si="0"/>
        <v/>
      </c>
      <c r="M14" s="72" t="str">
        <f t="shared" si="1"/>
        <v/>
      </c>
      <c r="N14" s="72" t="str">
        <f t="shared" si="2"/>
        <v/>
      </c>
      <c r="O14" s="73">
        <f t="shared" si="3"/>
        <v>468.05653306145462</v>
      </c>
      <c r="P14" s="73">
        <f t="shared" si="4"/>
        <v>614.94288178241925</v>
      </c>
      <c r="Q14" s="10" t="str">
        <f>IFERROR((VLOOKUP(A14,GM_Table,8,FALSE)-SUMIFS(D:D,A:A,A14,B:B,B14,C:C,C14)),"")</f>
        <v/>
      </c>
      <c r="R14" s="10" t="str">
        <f>IFERROR(CONCATENATE(VLOOKUP(A14,GM_Table,12,FALSE)," ",(VLOOKUP(A14,GM_Table,13,FALSE))),"")</f>
        <v/>
      </c>
      <c r="S14" s="208" t="e">
        <f>(#REF!-#REF!)/#REF!</f>
        <v>#REF!</v>
      </c>
      <c r="T14" s="203">
        <v>625.62586488888883</v>
      </c>
      <c r="U14" s="203">
        <v>0</v>
      </c>
      <c r="V14" s="204" t="s">
        <v>2597</v>
      </c>
      <c r="W14" s="203">
        <v>499.22165327563471</v>
      </c>
      <c r="X14" s="203">
        <v>-20.204441457308274</v>
      </c>
      <c r="Y14" s="204" t="s">
        <v>2597</v>
      </c>
      <c r="Z14" s="204" t="s">
        <v>2598</v>
      </c>
      <c r="AA14" s="204" t="s">
        <v>2597</v>
      </c>
      <c r="AB14" s="204" t="s">
        <v>2597</v>
      </c>
      <c r="AC14" s="204" t="s">
        <v>2597</v>
      </c>
    </row>
    <row r="15" spans="1:29" ht="15">
      <c r="A15" s="69" t="s">
        <v>730</v>
      </c>
      <c r="B15" s="69" t="s">
        <v>1830</v>
      </c>
      <c r="C15" s="69"/>
      <c r="D15" s="8">
        <v>6.8327</v>
      </c>
      <c r="E15" s="71">
        <v>3198.2037031422451</v>
      </c>
      <c r="F15" s="71">
        <v>4161.7</v>
      </c>
      <c r="G15" s="69">
        <v>0</v>
      </c>
      <c r="H15" s="70">
        <v>0</v>
      </c>
      <c r="I15" s="70">
        <v>0</v>
      </c>
      <c r="J15" s="144" t="b">
        <f>IF(ISBLANK(CertifiedCrop[[#This Row],[1. Identifiant interne d’exploitation agricole*]]),"",IF(ISERROR(MATCH(CertifiedCrop[[#This Row],[1. Identifiant interne d’exploitation agricole*]],GroupMember[1. Identifiant interne d’exploitation agricole*],0)),FALSE,TRUE))</f>
        <v>1</v>
      </c>
      <c r="K15" s="144" t="b">
        <f t="array" ref="K15">IF(ISBLANK(CertifiedCrop[[#This Row],[2. Produit agricole certifié*]]),"",IF(ISERROR(MATCH(1,(#REF!=CertifiedCrop[[#This Row],[2. Produit agricole certifié*]])*(#REF!=CertifiedCrop[[#This Row],[3. Variété**]]),0)),FALSE,TRUE))</f>
        <v>0</v>
      </c>
      <c r="L15" s="22" t="str">
        <f t="shared" si="0"/>
        <v/>
      </c>
      <c r="M15" s="72" t="str">
        <f t="shared" si="1"/>
        <v/>
      </c>
      <c r="N15" s="72" t="str">
        <f t="shared" si="2"/>
        <v/>
      </c>
      <c r="O15" s="73">
        <f t="shared" si="3"/>
        <v>468.07319260939965</v>
      </c>
      <c r="P15" s="73">
        <f t="shared" si="4"/>
        <v>609.08572013991534</v>
      </c>
      <c r="Q15" s="10" t="str">
        <f>IFERROR((VLOOKUP(A15,GM_Table,8,FALSE)-SUMIFS(D:D,A:A,A15,B:B,B15,C:C,C15)),"")</f>
        <v/>
      </c>
      <c r="R15" s="10" t="str">
        <f>IFERROR(CONCATENATE(VLOOKUP(A15,GM_Table,12,FALSE)," ",(VLOOKUP(A15,GM_Table,13,FALSE))),"")</f>
        <v/>
      </c>
      <c r="T15" s="203">
        <v>624.36279640357611</v>
      </c>
      <c r="U15" s="203">
        <v>0</v>
      </c>
      <c r="V15" s="204" t="s">
        <v>2597</v>
      </c>
      <c r="W15" s="203">
        <v>557.46678250319292</v>
      </c>
      <c r="X15" s="205">
        <v>-10.714285714285721</v>
      </c>
      <c r="Y15" s="204" t="s">
        <v>2597</v>
      </c>
      <c r="Z15" s="204" t="s">
        <v>2597</v>
      </c>
      <c r="AA15" s="204" t="s">
        <v>2597</v>
      </c>
      <c r="AB15" s="204" t="s">
        <v>2597</v>
      </c>
      <c r="AC15" s="204" t="s">
        <v>2597</v>
      </c>
    </row>
    <row r="16" spans="1:29" ht="15">
      <c r="A16" s="69" t="s">
        <v>734</v>
      </c>
      <c r="B16" s="69" t="s">
        <v>1830</v>
      </c>
      <c r="C16" s="69"/>
      <c r="D16" s="8">
        <v>3.9851000000000001</v>
      </c>
      <c r="E16" s="71">
        <v>1871.4006159459027</v>
      </c>
      <c r="F16" s="71">
        <v>2079.3666187181302</v>
      </c>
      <c r="G16" s="69">
        <v>0</v>
      </c>
      <c r="H16" s="70">
        <v>0</v>
      </c>
      <c r="I16" s="70">
        <v>0</v>
      </c>
      <c r="J16" s="144" t="b">
        <f>IF(ISBLANK(CertifiedCrop[[#This Row],[1. Identifiant interne d’exploitation agricole*]]),"",IF(ISERROR(MATCH(CertifiedCrop[[#This Row],[1. Identifiant interne d’exploitation agricole*]],GroupMember[1. Identifiant interne d’exploitation agricole*],0)),FALSE,TRUE))</f>
        <v>1</v>
      </c>
      <c r="K16" s="144" t="b">
        <f t="array" ref="K16">IF(ISBLANK(CertifiedCrop[[#This Row],[2. Produit agricole certifié*]]),"",IF(ISERROR(MATCH(1,(#REF!=CertifiedCrop[[#This Row],[2. Produit agricole certifié*]])*(#REF!=CertifiedCrop[[#This Row],[3. Variété**]]),0)),FALSE,TRUE))</f>
        <v>0</v>
      </c>
      <c r="L16" s="22" t="str">
        <f t="shared" si="0"/>
        <v/>
      </c>
      <c r="M16" s="72" t="str">
        <f t="shared" si="1"/>
        <v/>
      </c>
      <c r="N16" s="72" t="str">
        <f t="shared" si="2"/>
        <v/>
      </c>
      <c r="O16" s="73">
        <f t="shared" si="3"/>
        <v>469.59941179541357</v>
      </c>
      <c r="P16" s="73">
        <f t="shared" si="4"/>
        <v>521.78530494043571</v>
      </c>
      <c r="Q16" s="10" t="str">
        <f>IFERROR((VLOOKUP(A16,GM_Table,8,FALSE)-SUMIFS(D:D,A:A,A16,B:B,B16,C:C,C16)),"")</f>
        <v/>
      </c>
      <c r="R16" s="10" t="str">
        <f>IFERROR(CONCATENATE(VLOOKUP(A16,GM_Table,12,FALSE)," ",(VLOOKUP(A16,GM_Table,13,FALSE))),"")</f>
        <v/>
      </c>
      <c r="S16" s="208" t="e">
        <f>(#REF!-#REF!)/#REF!</f>
        <v>#REF!</v>
      </c>
      <c r="T16" s="203">
        <v>622.15919769093227</v>
      </c>
      <c r="U16" s="203">
        <v>0</v>
      </c>
      <c r="V16" s="204" t="s">
        <v>2597</v>
      </c>
      <c r="W16" s="203">
        <v>449.11048537904946</v>
      </c>
      <c r="X16" s="203">
        <v>-27.814217479084441</v>
      </c>
      <c r="Y16" s="204" t="s">
        <v>2597</v>
      </c>
      <c r="Z16" s="204" t="s">
        <v>2598</v>
      </c>
      <c r="AA16" s="204" t="s">
        <v>2597</v>
      </c>
      <c r="AB16" s="204" t="s">
        <v>2597</v>
      </c>
      <c r="AC16" s="204" t="s">
        <v>2597</v>
      </c>
    </row>
    <row r="17" spans="1:29" ht="15">
      <c r="A17" s="69" t="s">
        <v>739</v>
      </c>
      <c r="B17" s="69" t="s">
        <v>1830</v>
      </c>
      <c r="C17" s="69"/>
      <c r="D17" s="8">
        <v>1.7168000000000001</v>
      </c>
      <c r="E17" s="71">
        <v>807.61033272938948</v>
      </c>
      <c r="F17" s="71">
        <v>1065.1093930590816</v>
      </c>
      <c r="G17" s="69">
        <v>0</v>
      </c>
      <c r="H17" s="70">
        <v>0</v>
      </c>
      <c r="I17" s="70">
        <v>0</v>
      </c>
      <c r="J17" s="144" t="b">
        <f>IF(ISBLANK(CertifiedCrop[[#This Row],[1. Identifiant interne d’exploitation agricole*]]),"",IF(ISERROR(MATCH(CertifiedCrop[[#This Row],[1. Identifiant interne d’exploitation agricole*]],GroupMember[1. Identifiant interne d’exploitation agricole*],0)),FALSE,TRUE))</f>
        <v>1</v>
      </c>
      <c r="K17" s="144" t="b">
        <f t="array" ref="K17">IF(ISBLANK(CertifiedCrop[[#This Row],[2. Produit agricole certifié*]]),"",IF(ISERROR(MATCH(1,(#REF!=CertifiedCrop[[#This Row],[2. Produit agricole certifié*]])*(#REF!=CertifiedCrop[[#This Row],[3. Variété**]]),0)),FALSE,TRUE))</f>
        <v>0</v>
      </c>
      <c r="L17" s="22" t="str">
        <f t="shared" si="0"/>
        <v/>
      </c>
      <c r="M17" s="72" t="str">
        <f t="shared" si="1"/>
        <v/>
      </c>
      <c r="N17" s="72" t="str">
        <f t="shared" si="2"/>
        <v/>
      </c>
      <c r="O17" s="73">
        <f t="shared" si="3"/>
        <v>470.41608383585128</v>
      </c>
      <c r="P17" s="73">
        <f t="shared" si="4"/>
        <v>620.40388691698604</v>
      </c>
      <c r="Q17" s="10" t="str">
        <f>IFERROR((VLOOKUP(A17,GM_Table,8,FALSE)-SUMIFS(D:D,A:A,A17,B:B,B17,C:C,C17)),"")</f>
        <v/>
      </c>
      <c r="R17" s="10" t="str">
        <f>IFERROR(CONCATENATE(VLOOKUP(A17,GM_Table,12,FALSE)," ",(VLOOKUP(A17,GM_Table,13,FALSE))),"")</f>
        <v/>
      </c>
      <c r="T17" s="203">
        <v>620.40388691698604</v>
      </c>
      <c r="U17" s="203">
        <v>0</v>
      </c>
      <c r="V17" s="204" t="s">
        <v>2597</v>
      </c>
      <c r="W17" s="203">
        <v>553.93204189016615</v>
      </c>
      <c r="X17" s="205">
        <v>-10.714285714285708</v>
      </c>
      <c r="Y17" s="204" t="s">
        <v>2597</v>
      </c>
      <c r="Z17" s="204" t="s">
        <v>2597</v>
      </c>
      <c r="AA17" s="204" t="s">
        <v>2597</v>
      </c>
      <c r="AB17" s="204" t="s">
        <v>2597</v>
      </c>
      <c r="AC17" s="204" t="s">
        <v>2597</v>
      </c>
    </row>
    <row r="18" spans="1:29" ht="15">
      <c r="A18" s="69" t="s">
        <v>744</v>
      </c>
      <c r="B18" s="69" t="s">
        <v>1830</v>
      </c>
      <c r="C18" s="69"/>
      <c r="D18" s="8">
        <v>2.5081000000000002</v>
      </c>
      <c r="E18" s="71">
        <v>1180.472657306371</v>
      </c>
      <c r="F18" s="71">
        <v>1557.5708060209597</v>
      </c>
      <c r="G18" s="69">
        <v>0</v>
      </c>
      <c r="H18" s="70">
        <v>0</v>
      </c>
      <c r="I18" s="70">
        <v>0</v>
      </c>
      <c r="J18" s="144" t="b">
        <f>IF(ISBLANK(CertifiedCrop[[#This Row],[1. Identifiant interne d’exploitation agricole*]]),"",IF(ISERROR(MATCH(CertifiedCrop[[#This Row],[1. Identifiant interne d’exploitation agricole*]],GroupMember[1. Identifiant interne d’exploitation agricole*],0)),FALSE,TRUE))</f>
        <v>1</v>
      </c>
      <c r="K18" s="144" t="b">
        <f t="array" ref="K18">IF(ISBLANK(CertifiedCrop[[#This Row],[2. Produit agricole certifié*]]),"",IF(ISERROR(MATCH(1,(#REF!=CertifiedCrop[[#This Row],[2. Produit agricole certifié*]])*(#REF!=CertifiedCrop[[#This Row],[3. Variété**]]),0)),FALSE,TRUE))</f>
        <v>0</v>
      </c>
      <c r="L18" s="22" t="str">
        <f t="shared" si="0"/>
        <v/>
      </c>
      <c r="M18" s="72" t="str">
        <f t="shared" si="1"/>
        <v/>
      </c>
      <c r="N18" s="72" t="str">
        <f t="shared" si="2"/>
        <v/>
      </c>
      <c r="O18" s="73">
        <f t="shared" si="3"/>
        <v>470.66411120225308</v>
      </c>
      <c r="P18" s="73">
        <f t="shared" si="4"/>
        <v>621.01622982375488</v>
      </c>
      <c r="Q18" s="10" t="str">
        <f>IFERROR((VLOOKUP(A18,GM_Table,8,FALSE)-SUMIFS(D:D,A:A,A18,B:B,B18,C:C,C18)),"")</f>
        <v/>
      </c>
      <c r="R18" s="10" t="str">
        <f>IFERROR(CONCATENATE(VLOOKUP(A18,GM_Table,12,FALSE)," ",(VLOOKUP(A18,GM_Table,13,FALSE))),"")</f>
        <v/>
      </c>
      <c r="T18" s="203">
        <v>621.01622982375488</v>
      </c>
      <c r="U18" s="203">
        <v>0</v>
      </c>
      <c r="V18" s="204" t="s">
        <v>2597</v>
      </c>
      <c r="W18" s="203">
        <v>554.47877662835253</v>
      </c>
      <c r="X18" s="205">
        <v>-10.714285714285721</v>
      </c>
      <c r="Y18" s="204" t="s">
        <v>2597</v>
      </c>
      <c r="Z18" s="204" t="s">
        <v>2597</v>
      </c>
      <c r="AA18" s="204" t="s">
        <v>2597</v>
      </c>
      <c r="AB18" s="204" t="s">
        <v>2597</v>
      </c>
      <c r="AC18" s="204" t="s">
        <v>2597</v>
      </c>
    </row>
    <row r="19" spans="1:29" ht="15">
      <c r="A19" s="69" t="s">
        <v>748</v>
      </c>
      <c r="B19" s="69" t="s">
        <v>1830</v>
      </c>
      <c r="C19" s="69"/>
      <c r="D19" s="8">
        <v>2.8424999999999998</v>
      </c>
      <c r="E19" s="71">
        <v>1339.3557517756874</v>
      </c>
      <c r="F19" s="71">
        <v>1565.9741969387001</v>
      </c>
      <c r="G19" s="69">
        <v>0</v>
      </c>
      <c r="H19" s="70">
        <v>0</v>
      </c>
      <c r="I19" s="70">
        <v>0</v>
      </c>
      <c r="J19" s="144" t="b">
        <f>IF(ISBLANK(CertifiedCrop[[#This Row],[1. Identifiant interne d’exploitation agricole*]]),"",IF(ISERROR(MATCH(CertifiedCrop[[#This Row],[1. Identifiant interne d’exploitation agricole*]],GroupMember[1. Identifiant interne d’exploitation agricole*],0)),FALSE,TRUE))</f>
        <v>1</v>
      </c>
      <c r="K19" s="144" t="b">
        <f t="array" ref="K19">IF(ISBLANK(CertifiedCrop[[#This Row],[2. Produit agricole certifié*]]),"",IF(ISERROR(MATCH(1,(#REF!=CertifiedCrop[[#This Row],[2. Produit agricole certifié*]])*(#REF!=CertifiedCrop[[#This Row],[3. Variété**]]),0)),FALSE,TRUE))</f>
        <v>0</v>
      </c>
      <c r="L19" s="22" t="str">
        <f t="shared" si="0"/>
        <v/>
      </c>
      <c r="M19" s="72" t="str">
        <f t="shared" si="1"/>
        <v/>
      </c>
      <c r="N19" s="72" t="str">
        <f t="shared" si="2"/>
        <v/>
      </c>
      <c r="O19" s="73">
        <f t="shared" si="3"/>
        <v>471.18935858423481</v>
      </c>
      <c r="P19" s="73">
        <f t="shared" si="4"/>
        <v>550.91440525547944</v>
      </c>
      <c r="Q19" s="10" t="str">
        <f>IFERROR((VLOOKUP(A19,GM_Table,8,FALSE)-SUMIFS(D:D,A:A,A19,B:B,B19,C:C,C19)),"")</f>
        <v/>
      </c>
      <c r="R19" s="10" t="str">
        <f>IFERROR(CONCATENATE(VLOOKUP(A19,GM_Table,12,FALSE)," ",(VLOOKUP(A19,GM_Table,13,FALSE))),"")</f>
        <v/>
      </c>
      <c r="T19" s="203">
        <v>621.27500332056195</v>
      </c>
      <c r="U19" s="203">
        <v>0</v>
      </c>
      <c r="V19" s="204" t="s">
        <v>2597</v>
      </c>
      <c r="W19" s="203">
        <v>554.70982439335887</v>
      </c>
      <c r="X19" s="205">
        <v>-10.714285714285717</v>
      </c>
      <c r="Y19" s="204" t="s">
        <v>2597</v>
      </c>
      <c r="Z19" s="204" t="s">
        <v>2597</v>
      </c>
      <c r="AA19" s="204" t="s">
        <v>2597</v>
      </c>
      <c r="AB19" s="204" t="s">
        <v>2597</v>
      </c>
      <c r="AC19" s="204" t="s">
        <v>2597</v>
      </c>
    </row>
    <row r="20" spans="1:29" ht="15">
      <c r="A20" s="69" t="s">
        <v>751</v>
      </c>
      <c r="B20" s="69" t="s">
        <v>1830</v>
      </c>
      <c r="C20" s="69"/>
      <c r="D20" s="8">
        <v>2.2803</v>
      </c>
      <c r="E20" s="71">
        <v>1075.7539160652841</v>
      </c>
      <c r="F20" s="71">
        <v>1415.7013336923278</v>
      </c>
      <c r="G20" s="69">
        <v>0</v>
      </c>
      <c r="H20" s="70">
        <v>0</v>
      </c>
      <c r="I20" s="70">
        <v>0</v>
      </c>
      <c r="J20" s="144" t="b">
        <f>IF(ISBLANK(CertifiedCrop[[#This Row],[1. Identifiant interne d’exploitation agricole*]]),"",IF(ISERROR(MATCH(CertifiedCrop[[#This Row],[1. Identifiant interne d’exploitation agricole*]],GroupMember[1. Identifiant interne d’exploitation agricole*],0)),FALSE,TRUE))</f>
        <v>1</v>
      </c>
      <c r="K20" s="144" t="b">
        <f t="array" ref="K20">IF(ISBLANK(CertifiedCrop[[#This Row],[2. Produit agricole certifié*]]),"",IF(ISERROR(MATCH(1,(#REF!=CertifiedCrop[[#This Row],[2. Produit agricole certifié*]])*(#REF!=CertifiedCrop[[#This Row],[3. Variété**]]),0)),FALSE,TRUE))</f>
        <v>0</v>
      </c>
      <c r="L20" s="22" t="str">
        <f t="shared" si="0"/>
        <v/>
      </c>
      <c r="M20" s="72" t="str">
        <f t="shared" si="1"/>
        <v/>
      </c>
      <c r="N20" s="72" t="str">
        <f t="shared" si="2"/>
        <v/>
      </c>
      <c r="O20" s="73">
        <f t="shared" si="3"/>
        <v>471.75981935064863</v>
      </c>
      <c r="P20" s="73">
        <f t="shared" si="4"/>
        <v>620.83994811749676</v>
      </c>
      <c r="Q20" s="10" t="str">
        <f>IFERROR((VLOOKUP(A20,GM_Table,8,FALSE)-SUMIFS(D:D,A:A,A20,B:B,B20,C:C,C20)),"")</f>
        <v/>
      </c>
      <c r="R20" s="10" t="str">
        <f>IFERROR(CONCATENATE(VLOOKUP(A20,GM_Table,12,FALSE)," ",(VLOOKUP(A20,GM_Table,13,FALSE))),"")</f>
        <v/>
      </c>
      <c r="T20" s="203">
        <v>620.83994811749676</v>
      </c>
      <c r="U20" s="203">
        <v>0</v>
      </c>
      <c r="V20" s="204" t="s">
        <v>2597</v>
      </c>
      <c r="W20" s="203">
        <v>554.32138224776497</v>
      </c>
      <c r="X20" s="205">
        <v>-10.714285714285712</v>
      </c>
      <c r="Y20" s="204" t="s">
        <v>2597</v>
      </c>
      <c r="Z20" s="204" t="s">
        <v>2597</v>
      </c>
      <c r="AA20" s="204" t="s">
        <v>2597</v>
      </c>
      <c r="AB20" s="204" t="s">
        <v>2597</v>
      </c>
      <c r="AC20" s="204" t="s">
        <v>2597</v>
      </c>
    </row>
    <row r="21" spans="1:29" ht="15">
      <c r="A21" s="69" t="s">
        <v>754</v>
      </c>
      <c r="B21" s="69" t="s">
        <v>1830</v>
      </c>
      <c r="C21" s="69"/>
      <c r="D21" s="8">
        <v>4.0343999999999998</v>
      </c>
      <c r="E21" s="71">
        <v>1903.8997758164367</v>
      </c>
      <c r="F21" s="71">
        <v>2310.1929816162101</v>
      </c>
      <c r="G21" s="69">
        <v>0</v>
      </c>
      <c r="H21" s="70">
        <v>0</v>
      </c>
      <c r="I21" s="70">
        <v>0</v>
      </c>
      <c r="J21" s="144" t="b">
        <f>IF(ISBLANK(CertifiedCrop[[#This Row],[1. Identifiant interne d’exploitation agricole*]]),"",IF(ISERROR(MATCH(CertifiedCrop[[#This Row],[1. Identifiant interne d’exploitation agricole*]],GroupMember[1. Identifiant interne d’exploitation agricole*],0)),FALSE,TRUE))</f>
        <v>1</v>
      </c>
      <c r="K21" s="144" t="b">
        <f t="array" ref="K21">IF(ISBLANK(CertifiedCrop[[#This Row],[2. Produit agricole certifié*]]),"",IF(ISERROR(MATCH(1,(#REF!=CertifiedCrop[[#This Row],[2. Produit agricole certifié*]])*(#REF!=CertifiedCrop[[#This Row],[3. Variété**]]),0)),FALSE,TRUE))</f>
        <v>0</v>
      </c>
      <c r="L21" s="22" t="str">
        <f t="shared" si="0"/>
        <v/>
      </c>
      <c r="M21" s="72" t="str">
        <f t="shared" si="1"/>
        <v/>
      </c>
      <c r="N21" s="72" t="str">
        <f t="shared" si="2"/>
        <v/>
      </c>
      <c r="O21" s="73">
        <f t="shared" si="3"/>
        <v>471.91646237766133</v>
      </c>
      <c r="P21" s="73">
        <f t="shared" si="4"/>
        <v>572.62368174107928</v>
      </c>
      <c r="Q21" s="10" t="str">
        <f>IFERROR((VLOOKUP(A21,GM_Table,8,FALSE)-SUMIFS(D:D,A:A,A21,B:B,B21,C:C,C21)),"")</f>
        <v/>
      </c>
      <c r="R21" s="10" t="str">
        <f>IFERROR(CONCATENATE(VLOOKUP(A21,GM_Table,12,FALSE)," ",(VLOOKUP(A21,GM_Table,13,FALSE))),"")</f>
        <v/>
      </c>
      <c r="T21" s="203">
        <v>622.19734820945064</v>
      </c>
      <c r="U21" s="203">
        <v>0</v>
      </c>
      <c r="V21" s="204" t="s">
        <v>2597</v>
      </c>
      <c r="W21" s="203">
        <v>555.53334661558097</v>
      </c>
      <c r="X21" s="205">
        <v>-10.714285714285708</v>
      </c>
      <c r="Y21" s="204" t="s">
        <v>2597</v>
      </c>
      <c r="Z21" s="204" t="s">
        <v>2597</v>
      </c>
      <c r="AA21" s="204" t="s">
        <v>2597</v>
      </c>
      <c r="AB21" s="204" t="s">
        <v>2597</v>
      </c>
      <c r="AC21" s="204" t="s">
        <v>2597</v>
      </c>
    </row>
    <row r="22" spans="1:29" ht="15">
      <c r="A22" s="69" t="s">
        <v>758</v>
      </c>
      <c r="B22" s="69" t="s">
        <v>1830</v>
      </c>
      <c r="C22" s="69"/>
      <c r="D22" s="8">
        <v>4.5602</v>
      </c>
      <c r="E22" s="71">
        <v>2152.1865519778517</v>
      </c>
      <c r="F22" s="71">
        <v>2672.16</v>
      </c>
      <c r="G22" s="69">
        <v>0</v>
      </c>
      <c r="H22" s="70">
        <v>0</v>
      </c>
      <c r="I22" s="70">
        <v>0</v>
      </c>
      <c r="J22" s="144" t="b">
        <f>IF(ISBLANK(CertifiedCrop[[#This Row],[1. Identifiant interne d’exploitation agricole*]]),"",IF(ISERROR(MATCH(CertifiedCrop[[#This Row],[1. Identifiant interne d’exploitation agricole*]],GroupMember[1. Identifiant interne d’exploitation agricole*],0)),FALSE,TRUE))</f>
        <v>1</v>
      </c>
      <c r="K22" s="144" t="b">
        <f t="array" ref="K22">IF(ISBLANK(CertifiedCrop[[#This Row],[2. Produit agricole certifié*]]),"",IF(ISERROR(MATCH(1,(#REF!=CertifiedCrop[[#This Row],[2. Produit agricole certifié*]])*(#REF!=CertifiedCrop[[#This Row],[3. Variété**]]),0)),FALSE,TRUE))</f>
        <v>0</v>
      </c>
      <c r="L22" s="22" t="str">
        <f t="shared" si="0"/>
        <v/>
      </c>
      <c r="M22" s="72" t="str">
        <f t="shared" si="1"/>
        <v/>
      </c>
      <c r="N22" s="72" t="str">
        <f t="shared" si="2"/>
        <v/>
      </c>
      <c r="O22" s="73">
        <f t="shared" si="3"/>
        <v>471.95003551990078</v>
      </c>
      <c r="P22" s="73">
        <f t="shared" si="4"/>
        <v>585.97429937283448</v>
      </c>
      <c r="Q22" s="10" t="str">
        <f>IFERROR((VLOOKUP(A22,GM_Table,8,FALSE)-SUMIFS(D:D,A:A,A22,B:B,B22,C:C,C22)),"")</f>
        <v/>
      </c>
      <c r="R22" s="10" t="str">
        <f>IFERROR(CONCATENATE(VLOOKUP(A22,GM_Table,12,FALSE)," ",(VLOOKUP(A22,GM_Table,13,FALSE))),"")</f>
        <v/>
      </c>
      <c r="T22" s="203">
        <v>622.60423548403583</v>
      </c>
      <c r="U22" s="203">
        <v>0</v>
      </c>
      <c r="V22" s="204" t="s">
        <v>2597</v>
      </c>
      <c r="W22" s="203">
        <v>555.89663882503203</v>
      </c>
      <c r="X22" s="205">
        <v>-10.714285714285708</v>
      </c>
      <c r="Y22" s="204" t="s">
        <v>2597</v>
      </c>
      <c r="Z22" s="204" t="s">
        <v>2597</v>
      </c>
      <c r="AA22" s="204" t="s">
        <v>2597</v>
      </c>
      <c r="AB22" s="204" t="s">
        <v>2597</v>
      </c>
      <c r="AC22" s="204" t="s">
        <v>2597</v>
      </c>
    </row>
    <row r="23" spans="1:29" ht="15">
      <c r="A23" s="69" t="s">
        <v>763</v>
      </c>
      <c r="B23" s="69" t="s">
        <v>1830</v>
      </c>
      <c r="C23" s="69"/>
      <c r="D23" s="8">
        <v>2.6503999999999999</v>
      </c>
      <c r="E23" s="71">
        <v>1232.0693130576201</v>
      </c>
      <c r="F23" s="71">
        <v>1546.2332723465499</v>
      </c>
      <c r="G23" s="69">
        <v>0</v>
      </c>
      <c r="H23" s="70">
        <v>0</v>
      </c>
      <c r="I23" s="70">
        <v>0</v>
      </c>
      <c r="J23" s="144" t="b">
        <f>IF(ISBLANK(CertifiedCrop[[#This Row],[1. Identifiant interne d’exploitation agricole*]]),"",IF(ISERROR(MATCH(CertifiedCrop[[#This Row],[1. Identifiant interne d’exploitation agricole*]],GroupMember[1. Identifiant interne d’exploitation agricole*],0)),FALSE,TRUE))</f>
        <v>1</v>
      </c>
      <c r="K23" s="144" t="b">
        <f t="array" ref="K23">IF(ISBLANK(CertifiedCrop[[#This Row],[2. Produit agricole certifié*]]),"",IF(ISERROR(MATCH(1,(#REF!=CertifiedCrop[[#This Row],[2. Produit agricole certifié*]])*(#REF!=CertifiedCrop[[#This Row],[3. Variété**]]),0)),FALSE,TRUE))</f>
        <v>0</v>
      </c>
      <c r="L23" s="22" t="str">
        <f t="shared" si="0"/>
        <v/>
      </c>
      <c r="M23" s="72" t="str">
        <f t="shared" si="1"/>
        <v/>
      </c>
      <c r="N23" s="72" t="str">
        <f t="shared" si="2"/>
        <v/>
      </c>
      <c r="O23" s="73">
        <f t="shared" si="3"/>
        <v>464.86164845216575</v>
      </c>
      <c r="P23" s="73">
        <f t="shared" si="4"/>
        <v>583.39619391282451</v>
      </c>
      <c r="Q23" s="10" t="str">
        <f>IFERROR((VLOOKUP(A23,GM_Table,8,FALSE)-SUMIFS(D:D,A:A,A23,B:B,B23,C:C,C23)),"")</f>
        <v/>
      </c>
      <c r="R23" s="10" t="str">
        <f>IFERROR(CONCATENATE(VLOOKUP(A23,GM_Table,12,FALSE)," ",(VLOOKUP(A23,GM_Table,13,FALSE))),"")</f>
        <v/>
      </c>
      <c r="T23" s="203">
        <v>621.12634785185173</v>
      </c>
      <c r="U23" s="203">
        <v>0</v>
      </c>
      <c r="V23" s="204" t="s">
        <v>2597</v>
      </c>
      <c r="W23" s="203">
        <v>554.57709629629619</v>
      </c>
      <c r="X23" s="205">
        <v>-10.714285714285714</v>
      </c>
      <c r="Y23" s="204" t="s">
        <v>2597</v>
      </c>
      <c r="Z23" s="204" t="s">
        <v>2597</v>
      </c>
      <c r="AA23" s="204" t="s">
        <v>2597</v>
      </c>
      <c r="AB23" s="204" t="s">
        <v>2597</v>
      </c>
      <c r="AC23" s="204" t="s">
        <v>2597</v>
      </c>
    </row>
    <row r="24" spans="1:29" ht="15">
      <c r="A24" s="69" t="s">
        <v>767</v>
      </c>
      <c r="B24" s="69" t="s">
        <v>1830</v>
      </c>
      <c r="C24" s="69"/>
      <c r="D24" s="8">
        <v>12.489699999999999</v>
      </c>
      <c r="E24" s="71">
        <v>5904.3049261790256</v>
      </c>
      <c r="F24" s="71">
        <v>7256.69</v>
      </c>
      <c r="G24" s="69">
        <v>0</v>
      </c>
      <c r="H24" s="70">
        <v>0</v>
      </c>
      <c r="I24" s="70">
        <v>0</v>
      </c>
      <c r="J24" s="144" t="b">
        <f>IF(ISBLANK(CertifiedCrop[[#This Row],[1. Identifiant interne d’exploitation agricole*]]),"",IF(ISERROR(MATCH(CertifiedCrop[[#This Row],[1. Identifiant interne d’exploitation agricole*]],GroupMember[1. Identifiant interne d’exploitation agricole*],0)),FALSE,TRUE))</f>
        <v>1</v>
      </c>
      <c r="K24" s="144" t="b">
        <f t="array" ref="K24">IF(ISBLANK(CertifiedCrop[[#This Row],[2. Produit agricole certifié*]]),"",IF(ISERROR(MATCH(1,(#REF!=CertifiedCrop[[#This Row],[2. Produit agricole certifié*]])*(#REF!=CertifiedCrop[[#This Row],[3. Variété**]]),0)),FALSE,TRUE))</f>
        <v>0</v>
      </c>
      <c r="L24" s="22" t="str">
        <f t="shared" si="0"/>
        <v/>
      </c>
      <c r="M24" s="72" t="str">
        <f t="shared" si="1"/>
        <v/>
      </c>
      <c r="N24" s="72" t="str">
        <f t="shared" si="2"/>
        <v/>
      </c>
      <c r="O24" s="73">
        <f t="shared" si="3"/>
        <v>472.73392685004654</v>
      </c>
      <c r="P24" s="73">
        <f t="shared" si="4"/>
        <v>581.01395549933147</v>
      </c>
      <c r="Q24" s="10" t="str">
        <f>IFERROR((VLOOKUP(A24,GM_Table,8,FALSE)-SUMIFS(D:D,A:A,A24,B:B,B24,C:C,C24)),"")</f>
        <v/>
      </c>
      <c r="R24" s="10" t="str">
        <f>IFERROR(CONCATENATE(VLOOKUP(A24,GM_Table,12,FALSE)," ",(VLOOKUP(A24,GM_Table,13,FALSE))),"")</f>
        <v/>
      </c>
      <c r="T24" s="203">
        <v>628.7404329808428</v>
      </c>
      <c r="U24" s="203">
        <v>0</v>
      </c>
      <c r="V24" s="204" t="s">
        <v>2597</v>
      </c>
      <c r="W24" s="203">
        <v>561.37538659003826</v>
      </c>
      <c r="X24" s="205">
        <v>-10.714285714285706</v>
      </c>
      <c r="Y24" s="204" t="s">
        <v>2597</v>
      </c>
      <c r="Z24" s="204" t="s">
        <v>2597</v>
      </c>
      <c r="AA24" s="204" t="s">
        <v>2597</v>
      </c>
      <c r="AB24" s="204" t="s">
        <v>2597</v>
      </c>
      <c r="AC24" s="204" t="s">
        <v>2597</v>
      </c>
    </row>
    <row r="25" spans="1:29" ht="15">
      <c r="A25" s="69" t="s">
        <v>772</v>
      </c>
      <c r="B25" s="69" t="s">
        <v>1830</v>
      </c>
      <c r="C25" s="69"/>
      <c r="D25" s="8">
        <v>2.6198999999999999</v>
      </c>
      <c r="E25" s="71">
        <v>1208.6718306395801</v>
      </c>
      <c r="F25" s="71">
        <v>1547.2270832081499</v>
      </c>
      <c r="G25" s="69">
        <v>0</v>
      </c>
      <c r="H25" s="70">
        <v>0</v>
      </c>
      <c r="I25" s="70">
        <v>0</v>
      </c>
      <c r="J25" s="144" t="b">
        <f>IF(ISBLANK(CertifiedCrop[[#This Row],[1. Identifiant interne d’exploitation agricole*]]),"",IF(ISERROR(MATCH(CertifiedCrop[[#This Row],[1. Identifiant interne d’exploitation agricole*]],GroupMember[1. Identifiant interne d’exploitation agricole*],0)),FALSE,TRUE))</f>
        <v>1</v>
      </c>
      <c r="K25" s="144" t="b">
        <f t="array" ref="K25">IF(ISBLANK(CertifiedCrop[[#This Row],[2. Produit agricole certifié*]]),"",IF(ISERROR(MATCH(1,(#REF!=CertifiedCrop[[#This Row],[2. Produit agricole certifié*]])*(#REF!=CertifiedCrop[[#This Row],[3. Variété**]]),0)),FALSE,TRUE))</f>
        <v>0</v>
      </c>
      <c r="L25" s="22" t="str">
        <f t="shared" si="0"/>
        <v/>
      </c>
      <c r="M25" s="72" t="str">
        <f t="shared" si="1"/>
        <v/>
      </c>
      <c r="N25" s="72" t="str">
        <f t="shared" si="2"/>
        <v/>
      </c>
      <c r="O25" s="73">
        <f t="shared" si="3"/>
        <v>461.34273469963745</v>
      </c>
      <c r="P25" s="73">
        <f t="shared" si="4"/>
        <v>590.56722898131602</v>
      </c>
      <c r="Q25" s="10" t="str">
        <f>IFERROR((VLOOKUP(A25,GM_Table,8,FALSE)-SUMIFS(D:D,A:A,A25,B:B,B25,C:C,C25)),"")</f>
        <v/>
      </c>
      <c r="R25" s="10" t="str">
        <f>IFERROR(CONCATENATE(VLOOKUP(A25,GM_Table,12,FALSE)," ",(VLOOKUP(A25,GM_Table,13,FALSE))),"")</f>
        <v/>
      </c>
      <c r="T25" s="203">
        <v>621.10274560408709</v>
      </c>
      <c r="U25" s="203">
        <v>0</v>
      </c>
      <c r="V25" s="204" t="s">
        <v>2597</v>
      </c>
      <c r="W25" s="203">
        <v>554.55602286079204</v>
      </c>
      <c r="X25" s="205">
        <v>-10.714285714285715</v>
      </c>
      <c r="Y25" s="204" t="s">
        <v>2597</v>
      </c>
      <c r="Z25" s="204" t="s">
        <v>2597</v>
      </c>
      <c r="AA25" s="204" t="s">
        <v>2597</v>
      </c>
      <c r="AB25" s="204" t="s">
        <v>2597</v>
      </c>
      <c r="AC25" s="204" t="s">
        <v>2597</v>
      </c>
    </row>
    <row r="26" spans="1:29" ht="15">
      <c r="A26" s="69" t="s">
        <v>777</v>
      </c>
      <c r="B26" s="69" t="s">
        <v>1830</v>
      </c>
      <c r="C26" s="69"/>
      <c r="D26" s="8">
        <v>10.1645</v>
      </c>
      <c r="E26" s="71">
        <v>4807.4882381643129</v>
      </c>
      <c r="F26" s="71">
        <v>5923.28</v>
      </c>
      <c r="G26" s="69">
        <v>0</v>
      </c>
      <c r="H26" s="70">
        <v>0</v>
      </c>
      <c r="I26" s="70">
        <v>0</v>
      </c>
      <c r="J26" s="144" t="b">
        <f>IF(ISBLANK(CertifiedCrop[[#This Row],[1. Identifiant interne d’exploitation agricole*]]),"",IF(ISERROR(MATCH(CertifiedCrop[[#This Row],[1. Identifiant interne d’exploitation agricole*]],GroupMember[1. Identifiant interne d’exploitation agricole*],0)),FALSE,TRUE))</f>
        <v>1</v>
      </c>
      <c r="K26" s="144" t="b">
        <f t="array" ref="K26">IF(ISBLANK(CertifiedCrop[[#This Row],[2. Produit agricole certifié*]]),"",IF(ISERROR(MATCH(1,(#REF!=CertifiedCrop[[#This Row],[2. Produit agricole certifié*]])*(#REF!=CertifiedCrop[[#This Row],[3. Variété**]]),0)),FALSE,TRUE))</f>
        <v>0</v>
      </c>
      <c r="L26" s="22" t="str">
        <f t="shared" si="0"/>
        <v/>
      </c>
      <c r="M26" s="72" t="str">
        <f t="shared" si="1"/>
        <v/>
      </c>
      <c r="N26" s="72" t="str">
        <f t="shared" si="2"/>
        <v/>
      </c>
      <c r="O26" s="73">
        <f t="shared" si="3"/>
        <v>472.96849212104019</v>
      </c>
      <c r="P26" s="73">
        <f t="shared" si="4"/>
        <v>582.7418958138619</v>
      </c>
      <c r="Q26" s="10" t="str">
        <f>IFERROR((VLOOKUP(A26,GM_Table,8,FALSE)-SUMIFS(D:D,A:A,A26,B:B,B26,C:C,C26)),"")</f>
        <v/>
      </c>
      <c r="R26" s="10" t="str">
        <f>IFERROR(CONCATENATE(VLOOKUP(A26,GM_Table,12,FALSE)," ",(VLOOKUP(A26,GM_Table,13,FALSE))),"")</f>
        <v/>
      </c>
      <c r="T26" s="203">
        <v>626.9410904725413</v>
      </c>
      <c r="U26" s="203">
        <v>0</v>
      </c>
      <c r="V26" s="204" t="s">
        <v>2597</v>
      </c>
      <c r="W26" s="203">
        <v>559.76883077905472</v>
      </c>
      <c r="X26" s="205">
        <v>-10.714285714285717</v>
      </c>
      <c r="Y26" s="204" t="s">
        <v>2597</v>
      </c>
      <c r="Z26" s="204" t="s">
        <v>2597</v>
      </c>
      <c r="AA26" s="204" t="s">
        <v>2597</v>
      </c>
      <c r="AB26" s="204" t="s">
        <v>2597</v>
      </c>
      <c r="AC26" s="204" t="s">
        <v>2597</v>
      </c>
    </row>
    <row r="27" spans="1:29" ht="15">
      <c r="A27" s="69" t="s">
        <v>782</v>
      </c>
      <c r="B27" s="69" t="s">
        <v>1830</v>
      </c>
      <c r="C27" s="69"/>
      <c r="D27" s="8">
        <v>4.1508000000000003</v>
      </c>
      <c r="E27" s="71">
        <v>1964.7697087912238</v>
      </c>
      <c r="F27" s="71">
        <v>2444.35</v>
      </c>
      <c r="G27" s="69">
        <v>0</v>
      </c>
      <c r="H27" s="70">
        <v>0</v>
      </c>
      <c r="I27" s="70">
        <v>0</v>
      </c>
      <c r="J27" s="144" t="b">
        <f>IF(ISBLANK(CertifiedCrop[[#This Row],[1. Identifiant interne d’exploitation agricole*]]),"",IF(ISERROR(MATCH(CertifiedCrop[[#This Row],[1. Identifiant interne d’exploitation agricole*]],GroupMember[1. Identifiant interne d’exploitation agricole*],0)),FALSE,TRUE))</f>
        <v>1</v>
      </c>
      <c r="K27" s="144" t="b">
        <f t="array" ref="K27">IF(ISBLANK(CertifiedCrop[[#This Row],[2. Produit agricole certifié*]]),"",IF(ISERROR(MATCH(1,(#REF!=CertifiedCrop[[#This Row],[2. Produit agricole certifié*]])*(#REF!=CertifiedCrop[[#This Row],[3. Variété**]]),0)),FALSE,TRUE))</f>
        <v>0</v>
      </c>
      <c r="L27" s="22" t="str">
        <f t="shared" si="0"/>
        <v/>
      </c>
      <c r="M27" s="72" t="str">
        <f t="shared" si="1"/>
        <v/>
      </c>
      <c r="N27" s="72" t="str">
        <f t="shared" si="2"/>
        <v/>
      </c>
      <c r="O27" s="73">
        <f t="shared" si="3"/>
        <v>473.34723638605175</v>
      </c>
      <c r="P27" s="73">
        <f t="shared" si="4"/>
        <v>588.8864797147537</v>
      </c>
      <c r="Q27" s="10" t="str">
        <f>IFERROR((VLOOKUP(A27,GM_Table,8,FALSE)-SUMIFS(D:D,A:A,A27,B:B,B27,C:C,C27)),"")</f>
        <v/>
      </c>
      <c r="R27" s="10" t="str">
        <f>IFERROR(CONCATENATE(VLOOKUP(A27,GM_Table,12,FALSE)," ",(VLOOKUP(A27,GM_Table,13,FALSE))),"")</f>
        <v/>
      </c>
      <c r="T27" s="203">
        <v>622.28742367305233</v>
      </c>
      <c r="U27" s="203">
        <v>0</v>
      </c>
      <c r="V27" s="204" t="s">
        <v>2597</v>
      </c>
      <c r="W27" s="203">
        <v>555.6137711366539</v>
      </c>
      <c r="X27" s="205">
        <v>-10.71428571428571</v>
      </c>
      <c r="Y27" s="204" t="s">
        <v>2597</v>
      </c>
      <c r="Z27" s="204" t="s">
        <v>2597</v>
      </c>
      <c r="AA27" s="204" t="s">
        <v>2597</v>
      </c>
      <c r="AB27" s="204" t="s">
        <v>2597</v>
      </c>
      <c r="AC27" s="204" t="s">
        <v>2597</v>
      </c>
    </row>
    <row r="28" spans="1:29" ht="15">
      <c r="A28" s="69" t="s">
        <v>787</v>
      </c>
      <c r="B28" s="69" t="s">
        <v>1830</v>
      </c>
      <c r="C28" s="69"/>
      <c r="D28" s="8">
        <v>6.4074999999999998</v>
      </c>
      <c r="E28" s="71">
        <v>3034.6432611275059</v>
      </c>
      <c r="F28" s="71">
        <v>3717.8</v>
      </c>
      <c r="G28" s="69">
        <v>0</v>
      </c>
      <c r="H28" s="70">
        <v>0</v>
      </c>
      <c r="I28" s="70">
        <v>0</v>
      </c>
      <c r="J28" s="144" t="b">
        <f>IF(ISBLANK(CertifiedCrop[[#This Row],[1. Identifiant interne d’exploitation agricole*]]),"",IF(ISERROR(MATCH(CertifiedCrop[[#This Row],[1. Identifiant interne d’exploitation agricole*]],GroupMember[1. Identifiant interne d’exploitation agricole*],0)),FALSE,TRUE))</f>
        <v>1</v>
      </c>
      <c r="K28" s="144" t="b">
        <f t="array" ref="K28">IF(ISBLANK(CertifiedCrop[[#This Row],[2. Produit agricole certifié*]]),"",IF(ISERROR(MATCH(1,(#REF!=CertifiedCrop[[#This Row],[2. Produit agricole certifié*]])*(#REF!=CertifiedCrop[[#This Row],[3. Variété**]]),0)),FALSE,TRUE))</f>
        <v>0</v>
      </c>
      <c r="L28" s="22" t="str">
        <f t="shared" si="0"/>
        <v/>
      </c>
      <c r="M28" s="72" t="str">
        <f t="shared" si="1"/>
        <v/>
      </c>
      <c r="N28" s="72" t="str">
        <f t="shared" si="2"/>
        <v/>
      </c>
      <c r="O28" s="73">
        <f t="shared" si="3"/>
        <v>473.60800017596659</v>
      </c>
      <c r="P28" s="73">
        <f t="shared" si="4"/>
        <v>580.2262973078424</v>
      </c>
      <c r="Q28" s="10" t="str">
        <f>IFERROR((VLOOKUP(A28,GM_Table,8,FALSE)-SUMIFS(D:D,A:A,A28,B:B,B28,C:C,C28)),"")</f>
        <v/>
      </c>
      <c r="R28" s="10" t="str">
        <f>IFERROR(CONCATENATE(VLOOKUP(A28,GM_Table,12,FALSE)," ",(VLOOKUP(A28,GM_Table,13,FALSE))),"")</f>
        <v/>
      </c>
      <c r="T28" s="203">
        <v>624.03375785440596</v>
      </c>
      <c r="U28" s="203">
        <v>0</v>
      </c>
      <c r="V28" s="204" t="s">
        <v>2597</v>
      </c>
      <c r="W28" s="203">
        <v>557.17299808429107</v>
      </c>
      <c r="X28" s="205">
        <v>-10.71428571428571</v>
      </c>
      <c r="Y28" s="204" t="s">
        <v>2597</v>
      </c>
      <c r="Z28" s="204" t="s">
        <v>2597</v>
      </c>
      <c r="AA28" s="204" t="s">
        <v>2597</v>
      </c>
      <c r="AB28" s="204" t="s">
        <v>2597</v>
      </c>
      <c r="AC28" s="204" t="s">
        <v>2597</v>
      </c>
    </row>
    <row r="29" spans="1:29" ht="15">
      <c r="A29" s="69" t="s">
        <v>792</v>
      </c>
      <c r="B29" s="69" t="s">
        <v>1830</v>
      </c>
      <c r="C29" s="69"/>
      <c r="D29" s="8">
        <v>2.6616</v>
      </c>
      <c r="E29" s="71">
        <v>1262.1309974978783</v>
      </c>
      <c r="F29" s="71">
        <v>1353.21295567586</v>
      </c>
      <c r="G29" s="69">
        <v>0</v>
      </c>
      <c r="H29" s="70">
        <v>0</v>
      </c>
      <c r="I29" s="70">
        <v>0</v>
      </c>
      <c r="J29" s="144" t="b">
        <f>IF(ISBLANK(CertifiedCrop[[#This Row],[1. Identifiant interne d’exploitation agricole*]]),"",IF(ISERROR(MATCH(CertifiedCrop[[#This Row],[1. Identifiant interne d’exploitation agricole*]],GroupMember[1. Identifiant interne d’exploitation agricole*],0)),FALSE,TRUE))</f>
        <v>1</v>
      </c>
      <c r="K29" s="144" t="b">
        <f t="array" ref="K29">IF(ISBLANK(CertifiedCrop[[#This Row],[2. Produit agricole certifié*]]),"",IF(ISERROR(MATCH(1,(#REF!=CertifiedCrop[[#This Row],[2. Produit agricole certifié*]])*(#REF!=CertifiedCrop[[#This Row],[3. Variété**]]),0)),FALSE,TRUE))</f>
        <v>0</v>
      </c>
      <c r="L29" s="22" t="str">
        <f t="shared" si="0"/>
        <v/>
      </c>
      <c r="M29" s="72" t="str">
        <f t="shared" si="1"/>
        <v/>
      </c>
      <c r="N29" s="72" t="str">
        <f t="shared" si="2"/>
        <v/>
      </c>
      <c r="O29" s="73">
        <f t="shared" si="3"/>
        <v>474.20010425979797</v>
      </c>
      <c r="P29" s="73">
        <f t="shared" si="4"/>
        <v>508.42085800866397</v>
      </c>
      <c r="Q29" s="10" t="str">
        <f>IFERROR((VLOOKUP(A29,GM_Table,8,FALSE)-SUMIFS(D:D,A:A,A29,B:B,B29,C:C,C29)),"")</f>
        <v/>
      </c>
      <c r="R29" s="10" t="str">
        <f>IFERROR(CONCATENATE(VLOOKUP(A29,GM_Table,12,FALSE)," ",(VLOOKUP(A29,GM_Table,13,FALSE))),"")</f>
        <v/>
      </c>
      <c r="T29" s="203">
        <v>621.13501490676867</v>
      </c>
      <c r="U29" s="203">
        <v>0</v>
      </c>
      <c r="V29" s="204" t="s">
        <v>2597</v>
      </c>
      <c r="W29" s="203">
        <v>554.58483473818637</v>
      </c>
      <c r="X29" s="205">
        <v>-10.714285714285705</v>
      </c>
      <c r="Y29" s="204" t="s">
        <v>2597</v>
      </c>
      <c r="Z29" s="204" t="s">
        <v>2597</v>
      </c>
      <c r="AA29" s="204" t="s">
        <v>2597</v>
      </c>
      <c r="AB29" s="204" t="s">
        <v>2597</v>
      </c>
      <c r="AC29" s="204" t="s">
        <v>2597</v>
      </c>
    </row>
    <row r="30" spans="1:29" ht="15">
      <c r="A30" s="69" t="s">
        <v>796</v>
      </c>
      <c r="B30" s="69" t="s">
        <v>1830</v>
      </c>
      <c r="C30" s="69"/>
      <c r="D30" s="8">
        <v>4.8068</v>
      </c>
      <c r="E30" s="71">
        <v>2279.7097402818395</v>
      </c>
      <c r="F30" s="71">
        <v>2593.6513206581599</v>
      </c>
      <c r="G30" s="69">
        <v>0</v>
      </c>
      <c r="H30" s="70">
        <v>0</v>
      </c>
      <c r="I30" s="70">
        <v>0</v>
      </c>
      <c r="J30" s="144" t="b">
        <f>IF(ISBLANK(CertifiedCrop[[#This Row],[1. Identifiant interne d’exploitation agricole*]]),"",IF(ISERROR(MATCH(CertifiedCrop[[#This Row],[1. Identifiant interne d’exploitation agricole*]],GroupMember[1. Identifiant interne d’exploitation agricole*],0)),FALSE,TRUE))</f>
        <v>1</v>
      </c>
      <c r="K30" s="144" t="b">
        <f t="array" ref="K30">IF(ISBLANK(CertifiedCrop[[#This Row],[2. Produit agricole certifié*]]),"",IF(ISERROR(MATCH(1,(#REF!=CertifiedCrop[[#This Row],[2. Produit agricole certifié*]])*(#REF!=CertifiedCrop[[#This Row],[3. Variété**]]),0)),FALSE,TRUE))</f>
        <v>0</v>
      </c>
      <c r="L30" s="22" t="str">
        <f t="shared" si="0"/>
        <v/>
      </c>
      <c r="M30" s="72" t="str">
        <f t="shared" si="1"/>
        <v/>
      </c>
      <c r="N30" s="72" t="str">
        <f t="shared" si="2"/>
        <v/>
      </c>
      <c r="O30" s="73">
        <f t="shared" si="3"/>
        <v>474.26765005447271</v>
      </c>
      <c r="P30" s="73">
        <f t="shared" si="4"/>
        <v>539.57962067449444</v>
      </c>
      <c r="Q30" s="10" t="str">
        <f>IFERROR((VLOOKUP(A30,GM_Table,8,FALSE)-SUMIFS(D:D,A:A,A30,B:B,B30,C:C,C30)),"")</f>
        <v/>
      </c>
      <c r="R30" s="10" t="str">
        <f>IFERROR(CONCATENATE(VLOOKUP(A30,GM_Table,12,FALSE)," ",(VLOOKUP(A30,GM_Table,13,FALSE))),"")</f>
        <v/>
      </c>
      <c r="T30" s="203">
        <v>622.79506546104722</v>
      </c>
      <c r="U30" s="203">
        <v>0</v>
      </c>
      <c r="V30" s="204" t="s">
        <v>2597</v>
      </c>
      <c r="W30" s="203">
        <v>556.06702273307792</v>
      </c>
      <c r="X30" s="205">
        <v>-10.714285714285706</v>
      </c>
      <c r="Y30" s="204" t="s">
        <v>2597</v>
      </c>
      <c r="Z30" s="204" t="s">
        <v>2597</v>
      </c>
      <c r="AA30" s="204" t="s">
        <v>2597</v>
      </c>
      <c r="AB30" s="204" t="s">
        <v>2597</v>
      </c>
      <c r="AC30" s="204" t="s">
        <v>2597</v>
      </c>
    </row>
    <row r="31" spans="1:29" ht="15">
      <c r="A31" s="69" t="s">
        <v>799</v>
      </c>
      <c r="B31" s="69" t="s">
        <v>1830</v>
      </c>
      <c r="C31" s="69"/>
      <c r="D31" s="8">
        <v>13.986000000000001</v>
      </c>
      <c r="E31" s="71">
        <v>6638.353871506346</v>
      </c>
      <c r="F31" s="71">
        <v>8109.7581278675798</v>
      </c>
      <c r="G31" s="69">
        <v>0</v>
      </c>
      <c r="H31" s="71">
        <v>0</v>
      </c>
      <c r="I31" s="71">
        <v>0</v>
      </c>
      <c r="J31" s="144" t="b">
        <f>IF(ISBLANK(CertifiedCrop[[#This Row],[1. Identifiant interne d’exploitation agricole*]]),"",IF(ISERROR(MATCH(CertifiedCrop[[#This Row],[1. Identifiant interne d’exploitation agricole*]],GroupMember[1. Identifiant interne d’exploitation agricole*],0)),FALSE,TRUE))</f>
        <v>1</v>
      </c>
      <c r="K31" s="144" t="b">
        <f t="array" ref="K31">IF(ISBLANK(CertifiedCrop[[#This Row],[2. Produit agricole certifié*]]),"",IF(ISERROR(MATCH(1,(#REF!=CertifiedCrop[[#This Row],[2. Produit agricole certifié*]])*(#REF!=CertifiedCrop[[#This Row],[3. Variété**]]),0)),FALSE,TRUE))</f>
        <v>0</v>
      </c>
      <c r="L31" s="22" t="str">
        <f t="shared" si="0"/>
        <v/>
      </c>
      <c r="M31" s="72" t="str">
        <f t="shared" si="1"/>
        <v/>
      </c>
      <c r="N31" s="72" t="str">
        <f t="shared" si="2"/>
        <v/>
      </c>
      <c r="O31" s="73">
        <f t="shared" si="3"/>
        <v>474.64277645548015</v>
      </c>
      <c r="P31" s="73">
        <f t="shared" si="4"/>
        <v>579.84828599081789</v>
      </c>
      <c r="Q31" s="10" t="str">
        <f>IFERROR((VLOOKUP(A31,GM_Table,8,FALSE)-SUMIFS(D:D,A:A,A31,B:B,B31,C:C,C31)),"")</f>
        <v/>
      </c>
      <c r="R31" s="10" t="str">
        <f>IFERROR(CONCATENATE(VLOOKUP(A31,GM_Table,12,FALSE)," ",(VLOOKUP(A31,GM_Table,13,FALSE))),"")</f>
        <v/>
      </c>
      <c r="T31" s="203">
        <v>629.89833604086834</v>
      </c>
      <c r="U31" s="203">
        <v>0</v>
      </c>
      <c r="V31" s="204" t="s">
        <v>2597</v>
      </c>
      <c r="W31" s="203">
        <v>562.40922860791818</v>
      </c>
      <c r="X31" s="205">
        <v>-10.714285714285712</v>
      </c>
      <c r="Y31" s="204" t="s">
        <v>2597</v>
      </c>
      <c r="Z31" s="204" t="s">
        <v>2597</v>
      </c>
      <c r="AA31" s="204" t="s">
        <v>2597</v>
      </c>
      <c r="AB31" s="204" t="s">
        <v>2597</v>
      </c>
      <c r="AC31" s="204" t="s">
        <v>2597</v>
      </c>
    </row>
    <row r="32" spans="1:29" ht="15">
      <c r="A32" s="69" t="s">
        <v>804</v>
      </c>
      <c r="B32" s="69" t="s">
        <v>1830</v>
      </c>
      <c r="C32" s="69"/>
      <c r="D32" s="8">
        <v>4.2405999999999997</v>
      </c>
      <c r="E32" s="71">
        <v>2012.8914978703215</v>
      </c>
      <c r="F32" s="71">
        <v>2539.1667332453299</v>
      </c>
      <c r="G32" s="69">
        <v>0</v>
      </c>
      <c r="H32" s="71">
        <v>0</v>
      </c>
      <c r="I32" s="71">
        <v>0</v>
      </c>
      <c r="J32" s="144" t="b">
        <f>IF(ISBLANK(CertifiedCrop[[#This Row],[1. Identifiant interne d’exploitation agricole*]]),"",IF(ISERROR(MATCH(CertifiedCrop[[#This Row],[1. Identifiant interne d’exploitation agricole*]],GroupMember[1. Identifiant interne d’exploitation agricole*],0)),FALSE,TRUE))</f>
        <v>1</v>
      </c>
      <c r="K32" s="144" t="b">
        <f t="array" ref="K32">IF(ISBLANK(CertifiedCrop[[#This Row],[2. Produit agricole certifié*]]),"",IF(ISERROR(MATCH(1,(#REF!=CertifiedCrop[[#This Row],[2. Produit agricole certifié*]])*(#REF!=CertifiedCrop[[#This Row],[3. Variété**]]),0)),FALSE,TRUE))</f>
        <v>0</v>
      </c>
      <c r="L32" s="22" t="str">
        <f t="shared" si="0"/>
        <v/>
      </c>
      <c r="M32" s="72" t="str">
        <f t="shared" si="1"/>
        <v/>
      </c>
      <c r="N32" s="72" t="str">
        <f t="shared" si="2"/>
        <v/>
      </c>
      <c r="O32" s="73">
        <f t="shared" si="3"/>
        <v>474.67139033870717</v>
      </c>
      <c r="P32" s="73">
        <f t="shared" si="4"/>
        <v>598.77534623528038</v>
      </c>
      <c r="Q32" s="10" t="str">
        <f>IFERROR((VLOOKUP(A32,GM_Table,8,FALSE)-SUMIFS(D:D,A:A,A32,B:B,B32,C:C,C32)),"")</f>
        <v/>
      </c>
      <c r="R32" s="10" t="str">
        <f>IFERROR(CONCATENATE(VLOOKUP(A32,GM_Table,12,FALSE)," ",(VLOOKUP(A32,GM_Table,13,FALSE))),"")</f>
        <v/>
      </c>
      <c r="T32" s="203">
        <v>622.35691488122598</v>
      </c>
      <c r="U32" s="203">
        <v>0</v>
      </c>
      <c r="V32" s="204" t="s">
        <v>2597</v>
      </c>
      <c r="W32" s="203">
        <v>555.67581685823745</v>
      </c>
      <c r="X32" s="205">
        <v>-10.714285714285717</v>
      </c>
      <c r="Y32" s="204" t="s">
        <v>2597</v>
      </c>
      <c r="Z32" s="204" t="s">
        <v>2597</v>
      </c>
      <c r="AA32" s="204" t="s">
        <v>2597</v>
      </c>
      <c r="AB32" s="204" t="s">
        <v>2597</v>
      </c>
      <c r="AC32" s="204" t="s">
        <v>2597</v>
      </c>
    </row>
    <row r="33" spans="1:29" ht="15">
      <c r="A33" s="69" t="s">
        <v>808</v>
      </c>
      <c r="B33" s="69" t="s">
        <v>1830</v>
      </c>
      <c r="C33" s="69"/>
      <c r="D33" s="8">
        <v>1.4876</v>
      </c>
      <c r="E33" s="71">
        <v>706.46421610000709</v>
      </c>
      <c r="F33" s="71">
        <v>922.64897387261681</v>
      </c>
      <c r="G33" s="69">
        <v>0</v>
      </c>
      <c r="H33" s="71">
        <v>0</v>
      </c>
      <c r="I33" s="71">
        <v>0</v>
      </c>
      <c r="J33" s="144" t="b">
        <f>IF(ISBLANK(CertifiedCrop[[#This Row],[1. Identifiant interne d’exploitation agricole*]]),"",IF(ISERROR(MATCH(CertifiedCrop[[#This Row],[1. Identifiant interne d’exploitation agricole*]],GroupMember[1. Identifiant interne d’exploitation agricole*],0)),FALSE,TRUE))</f>
        <v>1</v>
      </c>
      <c r="K33" s="144" t="b">
        <f t="array" ref="K33">IF(ISBLANK(CertifiedCrop[[#This Row],[2. Produit agricole certifié*]]),"",IF(ISERROR(MATCH(1,(#REF!=CertifiedCrop[[#This Row],[2. Produit agricole certifié*]])*(#REF!=CertifiedCrop[[#This Row],[3. Variété**]]),0)),FALSE,TRUE))</f>
        <v>0</v>
      </c>
      <c r="L33" s="22" t="str">
        <f t="shared" si="0"/>
        <v/>
      </c>
      <c r="M33" s="72" t="str">
        <f t="shared" si="1"/>
        <v/>
      </c>
      <c r="N33" s="72" t="str">
        <f t="shared" si="2"/>
        <v/>
      </c>
      <c r="O33" s="73">
        <f t="shared" si="3"/>
        <v>474.90200060500609</v>
      </c>
      <c r="P33" s="73">
        <f t="shared" si="4"/>
        <v>620.22652182886316</v>
      </c>
      <c r="Q33" s="10" t="str">
        <f>IFERROR((VLOOKUP(A33,GM_Table,8,FALSE)-SUMIFS(D:D,A:A,A33,B:B,B33,C:C,C33)),"")</f>
        <v/>
      </c>
      <c r="R33" s="10" t="str">
        <f>IFERROR(CONCATENATE(VLOOKUP(A33,GM_Table,12,FALSE)," ",(VLOOKUP(A33,GM_Table,13,FALSE))),"")</f>
        <v/>
      </c>
      <c r="T33" s="203">
        <v>620.22652182886316</v>
      </c>
      <c r="U33" s="203">
        <v>0</v>
      </c>
      <c r="V33" s="204" t="s">
        <v>2597</v>
      </c>
      <c r="W33" s="203">
        <v>553.7736802043421</v>
      </c>
      <c r="X33" s="205">
        <v>-10.714285714285715</v>
      </c>
      <c r="Y33" s="204" t="s">
        <v>2597</v>
      </c>
      <c r="Z33" s="204" t="s">
        <v>2597</v>
      </c>
      <c r="AA33" s="204" t="s">
        <v>2597</v>
      </c>
      <c r="AB33" s="204" t="s">
        <v>2597</v>
      </c>
      <c r="AC33" s="204" t="s">
        <v>2597</v>
      </c>
    </row>
    <row r="34" spans="1:29" ht="15">
      <c r="A34" s="69" t="s">
        <v>811</v>
      </c>
      <c r="B34" s="69" t="s">
        <v>1830</v>
      </c>
      <c r="C34" s="69"/>
      <c r="D34" s="8">
        <v>3.9495</v>
      </c>
      <c r="E34" s="71">
        <v>1875.6816366171468</v>
      </c>
      <c r="F34" s="71">
        <v>2357.1089470849001</v>
      </c>
      <c r="G34" s="70">
        <v>0</v>
      </c>
      <c r="H34" s="70">
        <v>0</v>
      </c>
      <c r="I34" s="70">
        <v>0</v>
      </c>
      <c r="J34" s="144" t="b">
        <f>IF(ISBLANK(CertifiedCrop[[#This Row],[1. Identifiant interne d’exploitation agricole*]]),"",IF(ISERROR(MATCH(CertifiedCrop[[#This Row],[1. Identifiant interne d’exploitation agricole*]],GroupMember[1. Identifiant interne d’exploitation agricole*],0)),FALSE,TRUE))</f>
        <v>1</v>
      </c>
      <c r="K34" s="144" t="b">
        <f t="array" ref="K34">IF(ISBLANK(CertifiedCrop[[#This Row],[2. Produit agricole certifié*]]),"",IF(ISERROR(MATCH(1,(#REF!=CertifiedCrop[[#This Row],[2. Produit agricole certifié*]])*(#REF!=CertifiedCrop[[#This Row],[3. Variété**]]),0)),FALSE,TRUE))</f>
        <v>0</v>
      </c>
      <c r="L34" s="22" t="str">
        <f t="shared" si="0"/>
        <v/>
      </c>
      <c r="M34" s="72" t="str">
        <f t="shared" si="1"/>
        <v/>
      </c>
      <c r="N34" s="72" t="str">
        <f t="shared" si="2"/>
        <v/>
      </c>
      <c r="O34" s="73">
        <f t="shared" si="3"/>
        <v>474.91622651402628</v>
      </c>
      <c r="P34" s="73">
        <f t="shared" si="4"/>
        <v>596.81198812125592</v>
      </c>
      <c r="Q34" s="10" t="str">
        <f>IFERROR((VLOOKUP(A34,GM_Table,8,FALSE)-SUMIFS(D:D,A:A,A34,B:B,B34,C:C,C34)),"")</f>
        <v/>
      </c>
      <c r="R34" s="10" t="str">
        <f>IFERROR(CONCATENATE(VLOOKUP(A34,GM_Table,12,FALSE)," ",(VLOOKUP(A34,GM_Table,13,FALSE))),"")</f>
        <v/>
      </c>
      <c r="T34" s="203">
        <v>622.13164883780325</v>
      </c>
      <c r="U34" s="203">
        <v>0</v>
      </c>
      <c r="V34" s="204" t="s">
        <v>2597</v>
      </c>
      <c r="W34" s="203">
        <v>555.47468646232437</v>
      </c>
      <c r="X34" s="205">
        <v>-10.714285714285708</v>
      </c>
      <c r="Y34" s="204" t="s">
        <v>2597</v>
      </c>
      <c r="Z34" s="204" t="s">
        <v>2597</v>
      </c>
      <c r="AA34" s="204" t="s">
        <v>2597</v>
      </c>
      <c r="AB34" s="204" t="s">
        <v>2597</v>
      </c>
      <c r="AC34" s="204" t="s">
        <v>2597</v>
      </c>
    </row>
    <row r="35" spans="1:29" ht="15">
      <c r="A35" s="69" t="s">
        <v>816</v>
      </c>
      <c r="B35" s="69" t="s">
        <v>1830</v>
      </c>
      <c r="C35" s="69"/>
      <c r="D35" s="71">
        <v>3.8136999999999999</v>
      </c>
      <c r="E35" s="71">
        <v>1812.2008341388907</v>
      </c>
      <c r="F35" s="71">
        <v>2172.2226949112701</v>
      </c>
      <c r="G35" s="70">
        <v>0</v>
      </c>
      <c r="H35" s="70">
        <v>0</v>
      </c>
      <c r="I35" s="70">
        <v>0</v>
      </c>
      <c r="J35" s="144" t="b">
        <f>IF(ISBLANK(CertifiedCrop[[#This Row],[1. Identifiant interne d’exploitation agricole*]]),"",IF(ISERROR(MATCH(CertifiedCrop[[#This Row],[1. Identifiant interne d’exploitation agricole*]],GroupMember[1. Identifiant interne d’exploitation agricole*],0)),FALSE,TRUE))</f>
        <v>1</v>
      </c>
      <c r="K35" s="144" t="b">
        <f t="array" ref="K35">IF(ISBLANK(CertifiedCrop[[#This Row],[2. Produit agricole certifié*]]),"",IF(ISERROR(MATCH(1,(#REF!=CertifiedCrop[[#This Row],[2. Produit agricole certifié*]])*(#REF!=CertifiedCrop[[#This Row],[3. Variété**]]),0)),FALSE,TRUE))</f>
        <v>0</v>
      </c>
      <c r="L35" s="22" t="str">
        <f t="shared" si="0"/>
        <v/>
      </c>
      <c r="M35" s="72" t="str">
        <f t="shared" si="1"/>
        <v/>
      </c>
      <c r="N35" s="72" t="str">
        <f t="shared" si="2"/>
        <v/>
      </c>
      <c r="O35" s="73">
        <f t="shared" si="3"/>
        <v>475.18180091220881</v>
      </c>
      <c r="P35" s="73">
        <f t="shared" si="4"/>
        <v>569.58405089841108</v>
      </c>
      <c r="Q35" s="10" t="str">
        <f>IFERROR((VLOOKUP(A35,GM_Table,8,FALSE)-SUMIFS(D:D,A:A,A35,B:B,B35,C:C,C35)),"")</f>
        <v/>
      </c>
      <c r="R35" s="10" t="str">
        <f>IFERROR(CONCATENATE(VLOOKUP(A35,GM_Table,12,FALSE)," ",(VLOOKUP(A35,GM_Table,13,FALSE))),"")</f>
        <v/>
      </c>
      <c r="T35" s="203">
        <v>622.02656079693486</v>
      </c>
      <c r="U35" s="203">
        <v>0</v>
      </c>
      <c r="V35" s="204" t="s">
        <v>2597</v>
      </c>
      <c r="W35" s="203">
        <v>555.38085785440614</v>
      </c>
      <c r="X35" s="205">
        <v>-10.714285714285712</v>
      </c>
      <c r="Y35" s="204" t="s">
        <v>2597</v>
      </c>
      <c r="Z35" s="204" t="s">
        <v>2597</v>
      </c>
      <c r="AA35" s="204" t="s">
        <v>2597</v>
      </c>
      <c r="AB35" s="204" t="s">
        <v>2597</v>
      </c>
      <c r="AC35" s="204" t="s">
        <v>2597</v>
      </c>
    </row>
    <row r="36" spans="1:29" ht="15">
      <c r="A36" s="69" t="s">
        <v>820</v>
      </c>
      <c r="B36" s="69" t="s">
        <v>1830</v>
      </c>
      <c r="C36" s="69"/>
      <c r="D36" s="71">
        <v>1.2654000000000001</v>
      </c>
      <c r="E36" s="71">
        <v>602.12045232556261</v>
      </c>
      <c r="F36" s="71">
        <v>784.61705749679072</v>
      </c>
      <c r="G36" s="70">
        <v>0</v>
      </c>
      <c r="H36" s="70">
        <v>0</v>
      </c>
      <c r="I36" s="70">
        <v>0</v>
      </c>
      <c r="J36" s="144" t="b">
        <f>IF(ISBLANK(CertifiedCrop[[#This Row],[1. Identifiant interne d’exploitation agricole*]]),"",IF(ISERROR(MATCH(CertifiedCrop[[#This Row],[1. Identifiant interne d’exploitation agricole*]],GroupMember[1. Identifiant interne d’exploitation agricole*],0)),FALSE,TRUE))</f>
        <v>1</v>
      </c>
      <c r="K36" s="144" t="b">
        <f t="array" ref="K36">IF(ISBLANK(CertifiedCrop[[#This Row],[2. Produit agricole certifié*]]),"",IF(ISERROR(MATCH(1,(#REF!=CertifiedCrop[[#This Row],[2. Produit agricole certifié*]])*(#REF!=CertifiedCrop[[#This Row],[3. Variété**]]),0)),FALSE,TRUE))</f>
        <v>0</v>
      </c>
      <c r="L36" s="22" t="str">
        <f t="shared" si="0"/>
        <v/>
      </c>
      <c r="M36" s="72" t="str">
        <f t="shared" si="1"/>
        <v/>
      </c>
      <c r="N36" s="72" t="str">
        <f t="shared" si="2"/>
        <v/>
      </c>
      <c r="O36" s="73">
        <f t="shared" si="3"/>
        <v>475.83408592189232</v>
      </c>
      <c r="P36" s="73">
        <f t="shared" si="4"/>
        <v>620.05457365006373</v>
      </c>
      <c r="Q36" s="10" t="str">
        <f>IFERROR((VLOOKUP(A36,GM_Table,8,FALSE)-SUMIFS(D:D,A:A,A36,B:B,B36,C:C,C36)),"")</f>
        <v/>
      </c>
      <c r="R36" s="10" t="str">
        <f>IFERROR(CONCATENATE(VLOOKUP(A36,GM_Table,12,FALSE)," ",(VLOOKUP(A36,GM_Table,13,FALSE))),"")</f>
        <v/>
      </c>
      <c r="T36" s="203">
        <v>620.05457365006373</v>
      </c>
      <c r="U36" s="203">
        <v>0</v>
      </c>
      <c r="V36" s="204" t="s">
        <v>2597</v>
      </c>
      <c r="W36" s="203">
        <v>553.6201550446998</v>
      </c>
      <c r="X36" s="205">
        <v>-10.714285714285708</v>
      </c>
      <c r="Y36" s="204" t="s">
        <v>2597</v>
      </c>
      <c r="Z36" s="204" t="s">
        <v>2597</v>
      </c>
      <c r="AA36" s="204" t="s">
        <v>2597</v>
      </c>
      <c r="AB36" s="204" t="s">
        <v>2597</v>
      </c>
      <c r="AC36" s="204" t="s">
        <v>2597</v>
      </c>
    </row>
    <row r="37" spans="1:29" ht="15">
      <c r="A37" s="69" t="s">
        <v>825</v>
      </c>
      <c r="B37" s="69" t="s">
        <v>1830</v>
      </c>
      <c r="C37" s="69"/>
      <c r="D37" s="71">
        <v>1.9795</v>
      </c>
      <c r="E37" s="71">
        <v>942.19684184035361</v>
      </c>
      <c r="F37" s="71">
        <v>1228.4919044672795</v>
      </c>
      <c r="G37" s="70">
        <v>0</v>
      </c>
      <c r="H37" s="70">
        <v>0</v>
      </c>
      <c r="I37" s="70">
        <v>0</v>
      </c>
      <c r="J37" s="144" t="b">
        <f>IF(ISBLANK(CertifiedCrop[[#This Row],[1. Identifiant interne d’exploitation agricole*]]),"",IF(ISERROR(MATCH(CertifiedCrop[[#This Row],[1. Identifiant interne d’exploitation agricole*]],GroupMember[1. Identifiant interne d’exploitation agricole*],0)),FALSE,TRUE))</f>
        <v>1</v>
      </c>
      <c r="K37" s="144" t="b">
        <f t="array" ref="K37">IF(ISBLANK(CertifiedCrop[[#This Row],[2. Produit agricole certifié*]]),"",IF(ISERROR(MATCH(1,(#REF!=CertifiedCrop[[#This Row],[2. Produit agricole certifié*]])*(#REF!=CertifiedCrop[[#This Row],[3. Variété**]]),0)),FALSE,TRUE))</f>
        <v>0</v>
      </c>
      <c r="L37" s="22" t="str">
        <f t="shared" si="0"/>
        <v/>
      </c>
      <c r="M37" s="72" t="str">
        <f t="shared" si="1"/>
        <v/>
      </c>
      <c r="N37" s="72" t="str">
        <f t="shared" si="2"/>
        <v/>
      </c>
      <c r="O37" s="73">
        <f t="shared" si="3"/>
        <v>475.97718708782702</v>
      </c>
      <c r="P37" s="73">
        <f t="shared" si="4"/>
        <v>620.60717578544052</v>
      </c>
      <c r="Q37" s="10" t="str">
        <f>IFERROR((VLOOKUP(A37,GM_Table,8,FALSE)-SUMIFS(D:D,A:A,A37,B:B,B37,C:C,C37)),"")</f>
        <v/>
      </c>
      <c r="R37" s="10" t="str">
        <f>IFERROR(CONCATENATE(VLOOKUP(A37,GM_Table,12,FALSE)," ",(VLOOKUP(A37,GM_Table,13,FALSE))),"")</f>
        <v/>
      </c>
      <c r="T37" s="203">
        <v>620.60717578544052</v>
      </c>
      <c r="U37" s="203">
        <v>0</v>
      </c>
      <c r="V37" s="204" t="s">
        <v>2597</v>
      </c>
      <c r="W37" s="203">
        <v>554.11354980842907</v>
      </c>
      <c r="X37" s="205">
        <v>-10.714285714285708</v>
      </c>
      <c r="Y37" s="204" t="s">
        <v>2597</v>
      </c>
      <c r="Z37" s="204" t="s">
        <v>2597</v>
      </c>
      <c r="AA37" s="204" t="s">
        <v>2597</v>
      </c>
      <c r="AB37" s="204" t="s">
        <v>2597</v>
      </c>
      <c r="AC37" s="204" t="s">
        <v>2597</v>
      </c>
    </row>
    <row r="38" spans="1:29" ht="15">
      <c r="A38" s="69" t="s">
        <v>829</v>
      </c>
      <c r="B38" s="69" t="s">
        <v>1830</v>
      </c>
      <c r="C38" s="69"/>
      <c r="D38" s="71">
        <v>0.89939999999999998</v>
      </c>
      <c r="E38" s="71">
        <v>428.24662797917017</v>
      </c>
      <c r="F38" s="71">
        <v>487.82280284103604</v>
      </c>
      <c r="G38" s="70">
        <v>0</v>
      </c>
      <c r="H38" s="70">
        <v>0</v>
      </c>
      <c r="I38" s="70">
        <v>0</v>
      </c>
      <c r="J38" s="144" t="b">
        <f>IF(ISBLANK(CertifiedCrop[[#This Row],[1. Identifiant interne d’exploitation agricole*]]),"",IF(ISERROR(MATCH(CertifiedCrop[[#This Row],[1. Identifiant interne d’exploitation agricole*]],GroupMember[1. Identifiant interne d’exploitation agricole*],0)),FALSE,TRUE))</f>
        <v>1</v>
      </c>
      <c r="K38" s="144" t="b">
        <f t="array" ref="K38">IF(ISBLANK(CertifiedCrop[[#This Row],[2. Produit agricole certifié*]]),"",IF(ISERROR(MATCH(1,(#REF!=CertifiedCrop[[#This Row],[2. Produit agricole certifié*]])*(#REF!=CertifiedCrop[[#This Row],[3. Variété**]]),0)),FALSE,TRUE))</f>
        <v>0</v>
      </c>
      <c r="L38" s="22" t="str">
        <f t="shared" si="0"/>
        <v/>
      </c>
      <c r="M38" s="72" t="str">
        <f t="shared" si="1"/>
        <v/>
      </c>
      <c r="N38" s="72" t="str">
        <f t="shared" si="2"/>
        <v/>
      </c>
      <c r="O38" s="73">
        <f t="shared" si="3"/>
        <v>476.14701798884835</v>
      </c>
      <c r="P38" s="73">
        <f t="shared" si="4"/>
        <v>542.38692777522351</v>
      </c>
      <c r="Q38" s="10" t="str">
        <f>IFERROR((VLOOKUP(A38,GM_Table,8,FALSE)-SUMIFS(D:D,A:A,A38,B:B,B38,C:C,C38)),"")</f>
        <v/>
      </c>
      <c r="R38" s="10" t="str">
        <f>IFERROR(CONCATENATE(VLOOKUP(A38,GM_Table,12,FALSE)," ",(VLOOKUP(A38,GM_Table,13,FALSE))),"")</f>
        <v/>
      </c>
      <c r="T38" s="203">
        <v>542.38692777522351</v>
      </c>
      <c r="U38" s="203">
        <v>0</v>
      </c>
      <c r="V38" s="204" t="s">
        <v>2597</v>
      </c>
      <c r="W38" s="203">
        <v>484.27404265644952</v>
      </c>
      <c r="X38" s="205">
        <v>-10.714285714285722</v>
      </c>
      <c r="Y38" s="204" t="s">
        <v>2597</v>
      </c>
      <c r="Z38" s="204" t="s">
        <v>2597</v>
      </c>
      <c r="AA38" s="204" t="s">
        <v>2597</v>
      </c>
      <c r="AB38" s="204" t="s">
        <v>2597</v>
      </c>
      <c r="AC38" s="204" t="s">
        <v>2597</v>
      </c>
    </row>
    <row r="39" spans="1:29" ht="15">
      <c r="A39" s="69" t="s">
        <v>834</v>
      </c>
      <c r="B39" s="69" t="s">
        <v>1830</v>
      </c>
      <c r="C39" s="69"/>
      <c r="D39" s="71">
        <v>2.9268999999999998</v>
      </c>
      <c r="E39" s="71">
        <v>1394.4324038629943</v>
      </c>
      <c r="F39" s="71">
        <v>1618.6009702275501</v>
      </c>
      <c r="G39" s="70">
        <v>0</v>
      </c>
      <c r="H39" s="70">
        <v>0</v>
      </c>
      <c r="I39" s="70">
        <v>0</v>
      </c>
      <c r="J39" s="144" t="b">
        <f>IF(ISBLANK(CertifiedCrop[[#This Row],[1. Identifiant interne d’exploitation agricole*]]),"",IF(ISERROR(MATCH(CertifiedCrop[[#This Row],[1. Identifiant interne d’exploitation agricole*]],GroupMember[1. Identifiant interne d’exploitation agricole*],0)),FALSE,TRUE))</f>
        <v>1</v>
      </c>
      <c r="K39" s="144" t="b">
        <f t="array" ref="K39">IF(ISBLANK(CertifiedCrop[[#This Row],[2. Produit agricole certifié*]]),"",IF(ISERROR(MATCH(1,(#REF!=CertifiedCrop[[#This Row],[2. Produit agricole certifié*]])*(#REF!=CertifiedCrop[[#This Row],[3. Variété**]]),0)),FALSE,TRUE))</f>
        <v>0</v>
      </c>
      <c r="L39" s="22" t="str">
        <f t="shared" si="0"/>
        <v/>
      </c>
      <c r="M39" s="72" t="str">
        <f t="shared" si="1"/>
        <v/>
      </c>
      <c r="N39" s="72" t="str">
        <f t="shared" si="2"/>
        <v/>
      </c>
      <c r="O39" s="73">
        <f t="shared" si="3"/>
        <v>476.41955784720847</v>
      </c>
      <c r="P39" s="73">
        <f t="shared" si="4"/>
        <v>553.00863378576321</v>
      </c>
      <c r="Q39" s="10" t="str">
        <f>IFERROR((VLOOKUP(A39,GM_Table,8,FALSE)-SUMIFS(D:D,A:A,A39,B:B,B39,C:C,C39)),"")</f>
        <v/>
      </c>
      <c r="R39" s="10" t="str">
        <f>IFERROR(CONCATENATE(VLOOKUP(A39,GM_Table,12,FALSE)," ",(VLOOKUP(A39,GM_Table,13,FALSE))),"")</f>
        <v/>
      </c>
      <c r="T39" s="203">
        <v>621.34031577011501</v>
      </c>
      <c r="U39" s="203">
        <v>0</v>
      </c>
      <c r="V39" s="204" t="s">
        <v>2597</v>
      </c>
      <c r="W39" s="203">
        <v>554.76813908045983</v>
      </c>
      <c r="X39" s="205">
        <v>-10.714285714285714</v>
      </c>
      <c r="Y39" s="204" t="s">
        <v>2597</v>
      </c>
      <c r="Z39" s="204" t="s">
        <v>2597</v>
      </c>
      <c r="AA39" s="204" t="s">
        <v>2597</v>
      </c>
      <c r="AB39" s="204" t="s">
        <v>2597</v>
      </c>
      <c r="AC39" s="204" t="s">
        <v>2597</v>
      </c>
    </row>
    <row r="40" spans="1:29" ht="15">
      <c r="A40" s="69" t="s">
        <v>837</v>
      </c>
      <c r="B40" s="69" t="s">
        <v>1830</v>
      </c>
      <c r="C40" s="69"/>
      <c r="D40" s="71">
        <v>3.3454000000000002</v>
      </c>
      <c r="E40" s="71">
        <v>1594.8119404655051</v>
      </c>
      <c r="F40" s="71">
        <v>1979.71531285679</v>
      </c>
      <c r="G40" s="70">
        <v>0</v>
      </c>
      <c r="H40" s="70">
        <v>0</v>
      </c>
      <c r="I40" s="70">
        <v>0</v>
      </c>
      <c r="J40" s="144" t="b">
        <f>IF(ISBLANK(CertifiedCrop[[#This Row],[1. Identifiant interne d’exploitation agricole*]]),"",IF(ISERROR(MATCH(CertifiedCrop[[#This Row],[1. Identifiant interne d’exploitation agricole*]],GroupMember[1. Identifiant interne d’exploitation agricole*],0)),FALSE,TRUE))</f>
        <v>1</v>
      </c>
      <c r="K40" s="144" t="b">
        <f t="array" ref="K40">IF(ISBLANK(CertifiedCrop[[#This Row],[2. Produit agricole certifié*]]),"",IF(ISERROR(MATCH(1,(#REF!=CertifiedCrop[[#This Row],[2. Produit agricole certifié*]])*(#REF!=CertifiedCrop[[#This Row],[3. Variété**]]),0)),FALSE,TRUE))</f>
        <v>0</v>
      </c>
      <c r="L40" s="22" t="str">
        <f t="shared" si="0"/>
        <v/>
      </c>
      <c r="M40" s="72" t="str">
        <f t="shared" si="1"/>
        <v/>
      </c>
      <c r="N40" s="72" t="str">
        <f t="shared" si="2"/>
        <v/>
      </c>
      <c r="O40" s="73">
        <f t="shared" si="3"/>
        <v>476.71786347387609</v>
      </c>
      <c r="P40" s="73">
        <f t="shared" si="4"/>
        <v>591.77237784922283</v>
      </c>
      <c r="Q40" s="10" t="str">
        <f>IFERROR((VLOOKUP(A40,GM_Table,8,FALSE)-SUMIFS(D:D,A:A,A40,B:B,B40,C:C,C40)),"")</f>
        <v/>
      </c>
      <c r="R40" s="10" t="str">
        <f>IFERROR(CONCATENATE(VLOOKUP(A40,GM_Table,12,FALSE)," ",(VLOOKUP(A40,GM_Table,13,FALSE))),"")</f>
        <v/>
      </c>
      <c r="T40" s="203">
        <v>621.66416956321859</v>
      </c>
      <c r="U40" s="203">
        <v>0</v>
      </c>
      <c r="V40" s="204" t="s">
        <v>2597</v>
      </c>
      <c r="W40" s="203">
        <v>555.0572942528737</v>
      </c>
      <c r="X40" s="205">
        <v>-10.714285714285721</v>
      </c>
      <c r="Y40" s="204" t="s">
        <v>2597</v>
      </c>
      <c r="Z40" s="204" t="s">
        <v>2597</v>
      </c>
      <c r="AA40" s="204" t="s">
        <v>2597</v>
      </c>
      <c r="AB40" s="204" t="s">
        <v>2597</v>
      </c>
      <c r="AC40" s="204" t="s">
        <v>2597</v>
      </c>
    </row>
    <row r="41" spans="1:29" ht="15">
      <c r="A41" s="69" t="s">
        <v>841</v>
      </c>
      <c r="B41" s="69" t="s">
        <v>1830</v>
      </c>
      <c r="C41" s="69"/>
      <c r="D41" s="71">
        <v>0.80630000000000002</v>
      </c>
      <c r="E41" s="71">
        <v>384.3905481886369</v>
      </c>
      <c r="F41" s="71">
        <v>437.26849006713257</v>
      </c>
      <c r="G41" s="70">
        <v>0</v>
      </c>
      <c r="H41" s="70">
        <v>0</v>
      </c>
      <c r="I41" s="70">
        <v>0</v>
      </c>
      <c r="J41" s="144" t="b">
        <f>IF(ISBLANK(CertifiedCrop[[#This Row],[1. Identifiant interne d’exploitation agricole*]]),"",IF(ISERROR(MATCH(CertifiedCrop[[#This Row],[1. Identifiant interne d’exploitation agricole*]],GroupMember[1. Identifiant interne d’exploitation agricole*],0)),FALSE,TRUE))</f>
        <v>1</v>
      </c>
      <c r="K41" s="144" t="b">
        <f t="array" ref="K41">IF(ISBLANK(CertifiedCrop[[#This Row],[2. Produit agricole certifié*]]),"",IF(ISERROR(MATCH(1,(#REF!=CertifiedCrop[[#This Row],[2. Produit agricole certifié*]])*(#REF!=CertifiedCrop[[#This Row],[3. Variété**]]),0)),FALSE,TRUE))</f>
        <v>0</v>
      </c>
      <c r="L41" s="22" t="str">
        <f t="shared" si="0"/>
        <v/>
      </c>
      <c r="M41" s="72" t="str">
        <f t="shared" si="1"/>
        <v/>
      </c>
      <c r="N41" s="72" t="str">
        <f t="shared" si="2"/>
        <v/>
      </c>
      <c r="O41" s="73">
        <f t="shared" si="3"/>
        <v>476.73390572818664</v>
      </c>
      <c r="P41" s="73">
        <f t="shared" si="4"/>
        <v>542.31488288122603</v>
      </c>
      <c r="Q41" s="10" t="str">
        <f>IFERROR((VLOOKUP(A41,GM_Table,8,FALSE)-SUMIFS(D:D,A:A,A41,B:B,B41,C:C,C41)),"")</f>
        <v/>
      </c>
      <c r="R41" s="10" t="str">
        <f>IFERROR(CONCATENATE(VLOOKUP(A41,GM_Table,12,FALSE)," ",(VLOOKUP(A41,GM_Table,13,FALSE))),"")</f>
        <v/>
      </c>
      <c r="T41" s="203">
        <v>542.31488288122603</v>
      </c>
      <c r="U41" s="203">
        <v>0</v>
      </c>
      <c r="V41" s="204" t="s">
        <v>2597</v>
      </c>
      <c r="W41" s="203">
        <v>484.20971685823753</v>
      </c>
      <c r="X41" s="205">
        <v>-10.714285714285714</v>
      </c>
      <c r="Y41" s="204" t="s">
        <v>2597</v>
      </c>
      <c r="Z41" s="204" t="s">
        <v>2597</v>
      </c>
      <c r="AA41" s="204" t="s">
        <v>2597</v>
      </c>
      <c r="AB41" s="204" t="s">
        <v>2597</v>
      </c>
      <c r="AC41" s="204" t="s">
        <v>2597</v>
      </c>
    </row>
    <row r="42" spans="1:29" ht="15">
      <c r="A42" s="69" t="s">
        <v>844</v>
      </c>
      <c r="B42" s="69" t="s">
        <v>1830</v>
      </c>
      <c r="C42" s="69"/>
      <c r="D42" s="71">
        <v>4.1936</v>
      </c>
      <c r="E42" s="71">
        <v>1999.9559909786665</v>
      </c>
      <c r="F42" s="71">
        <v>2409.7634341753301</v>
      </c>
      <c r="G42" s="70">
        <v>0</v>
      </c>
      <c r="H42" s="70">
        <v>0</v>
      </c>
      <c r="I42" s="70">
        <v>0</v>
      </c>
      <c r="J42" s="144" t="b">
        <f>IF(ISBLANK(CertifiedCrop[[#This Row],[1. Identifiant interne d’exploitation agricole*]]),"",IF(ISERROR(MATCH(CertifiedCrop[[#This Row],[1. Identifiant interne d’exploitation agricole*]],GroupMember[1. Identifiant interne d’exploitation agricole*],0)),FALSE,TRUE))</f>
        <v>1</v>
      </c>
      <c r="K42" s="144" t="b">
        <f t="array" ref="K42">IF(ISBLANK(CertifiedCrop[[#This Row],[2. Produit agricole certifié*]]),"",IF(ISERROR(MATCH(1,(#REF!=CertifiedCrop[[#This Row],[2. Produit agricole certifié*]])*(#REF!=CertifiedCrop[[#This Row],[3. Variété**]]),0)),FALSE,TRUE))</f>
        <v>0</v>
      </c>
      <c r="L42" s="22" t="str">
        <f t="shared" si="0"/>
        <v/>
      </c>
      <c r="M42" s="72" t="str">
        <f t="shared" si="1"/>
        <v/>
      </c>
      <c r="N42" s="72" t="str">
        <f t="shared" si="2"/>
        <v/>
      </c>
      <c r="O42" s="73">
        <f t="shared" si="3"/>
        <v>476.90671284306239</v>
      </c>
      <c r="P42" s="73">
        <f t="shared" si="4"/>
        <v>574.62882348705887</v>
      </c>
      <c r="Q42" s="10" t="str">
        <f>IFERROR((VLOOKUP(A42,GM_Table,8,FALSE)-SUMIFS(D:D,A:A,A42,B:B,B42,C:C,C42)),"")</f>
        <v/>
      </c>
      <c r="R42" s="10" t="str">
        <f>IFERROR(CONCATENATE(VLOOKUP(A42,GM_Table,12,FALSE)," ",(VLOOKUP(A42,GM_Table,13,FALSE))),"")</f>
        <v/>
      </c>
      <c r="T42" s="203">
        <v>622.32054420434224</v>
      </c>
      <c r="U42" s="203">
        <v>0</v>
      </c>
      <c r="V42" s="204" t="s">
        <v>2597</v>
      </c>
      <c r="W42" s="203">
        <v>555.64334303959129</v>
      </c>
      <c r="X42" s="205">
        <v>-10.714285714285714</v>
      </c>
      <c r="Y42" s="204" t="s">
        <v>2597</v>
      </c>
      <c r="Z42" s="204" t="s">
        <v>2597</v>
      </c>
      <c r="AA42" s="204" t="s">
        <v>2597</v>
      </c>
      <c r="AB42" s="204" t="s">
        <v>2597</v>
      </c>
      <c r="AC42" s="204" t="s">
        <v>2597</v>
      </c>
    </row>
    <row r="43" spans="1:29" ht="15">
      <c r="A43" s="69" t="s">
        <v>849</v>
      </c>
      <c r="B43" s="69" t="s">
        <v>1830</v>
      </c>
      <c r="C43" s="69"/>
      <c r="D43" s="71">
        <v>4.8034999999999997</v>
      </c>
      <c r="E43" s="71">
        <v>2292.1043387942486</v>
      </c>
      <c r="F43" s="71">
        <v>2591.58383031229</v>
      </c>
      <c r="G43" s="70">
        <v>0</v>
      </c>
      <c r="H43" s="70">
        <v>0</v>
      </c>
      <c r="I43" s="70">
        <v>0</v>
      </c>
      <c r="J43" s="144" t="b">
        <f>IF(ISBLANK(CertifiedCrop[[#This Row],[1. Identifiant interne d’exploitation agricole*]]),"",IF(ISERROR(MATCH(CertifiedCrop[[#This Row],[1. Identifiant interne d’exploitation agricole*]],GroupMember[1. Identifiant interne d’exploitation agricole*],0)),FALSE,TRUE))</f>
        <v>1</v>
      </c>
      <c r="K43" s="144" t="b">
        <f t="array" ref="K43">IF(ISBLANK(CertifiedCrop[[#This Row],[2. Produit agricole certifié*]]),"",IF(ISERROR(MATCH(1,(#REF!=CertifiedCrop[[#This Row],[2. Produit agricole certifié*]])*(#REF!=CertifiedCrop[[#This Row],[3. Variété**]]),0)),FALSE,TRUE))</f>
        <v>0</v>
      </c>
      <c r="L43" s="22" t="str">
        <f t="shared" si="0"/>
        <v/>
      </c>
      <c r="M43" s="72" t="str">
        <f t="shared" si="1"/>
        <v/>
      </c>
      <c r="N43" s="72" t="str">
        <f t="shared" si="2"/>
        <v/>
      </c>
      <c r="O43" s="73">
        <f t="shared" si="3"/>
        <v>477.17379802107814</v>
      </c>
      <c r="P43" s="73">
        <f t="shared" si="4"/>
        <v>539.51989805606127</v>
      </c>
      <c r="Q43" s="10" t="str">
        <f>IFERROR((VLOOKUP(A43,GM_Table,8,FALSE)-SUMIFS(D:D,A:A,A43,B:B,B43,C:C,C43)),"")</f>
        <v/>
      </c>
      <c r="R43" s="10" t="str">
        <f>IFERROR(CONCATENATE(VLOOKUP(A43,GM_Table,12,FALSE)," ",(VLOOKUP(A43,GM_Table,13,FALSE))),"")</f>
        <v/>
      </c>
      <c r="T43" s="203">
        <v>622.79251177522349</v>
      </c>
      <c r="U43" s="203">
        <v>0</v>
      </c>
      <c r="V43" s="204" t="s">
        <v>2597</v>
      </c>
      <c r="W43" s="203">
        <v>556.06474265644954</v>
      </c>
      <c r="X43" s="205">
        <v>-10.714285714285715</v>
      </c>
      <c r="Y43" s="204" t="s">
        <v>2597</v>
      </c>
      <c r="Z43" s="204" t="s">
        <v>2597</v>
      </c>
      <c r="AA43" s="204" t="s">
        <v>2597</v>
      </c>
      <c r="AB43" s="204" t="s">
        <v>2597</v>
      </c>
      <c r="AC43" s="204" t="s">
        <v>2597</v>
      </c>
    </row>
    <row r="44" spans="1:29" ht="15">
      <c r="A44" s="69" t="s">
        <v>852</v>
      </c>
      <c r="B44" s="69" t="s">
        <v>1830</v>
      </c>
      <c r="C44" s="69"/>
      <c r="D44" s="71">
        <v>5.0833000000000004</v>
      </c>
      <c r="E44" s="71">
        <v>2429.8586148437898</v>
      </c>
      <c r="F44" s="71">
        <v>3066.9418193770498</v>
      </c>
      <c r="G44" s="70">
        <v>0</v>
      </c>
      <c r="H44" s="70">
        <v>0</v>
      </c>
      <c r="I44" s="70">
        <v>0</v>
      </c>
      <c r="J44" s="144" t="b">
        <f>IF(ISBLANK(CertifiedCrop[[#This Row],[1. Identifiant interne d’exploitation agricole*]]),"",IF(ISERROR(MATCH(CertifiedCrop[[#This Row],[1. Identifiant interne d’exploitation agricole*]],GroupMember[1. Identifiant interne d’exploitation agricole*],0)),FALSE,TRUE))</f>
        <v>1</v>
      </c>
      <c r="K44" s="144" t="b">
        <f t="array" ref="K44">IF(ISBLANK(CertifiedCrop[[#This Row],[2. Produit agricole certifié*]]),"",IF(ISERROR(MATCH(1,(#REF!=CertifiedCrop[[#This Row],[2. Produit agricole certifié*]])*(#REF!=CertifiedCrop[[#This Row],[3. Variété**]]),0)),FALSE,TRUE))</f>
        <v>0</v>
      </c>
      <c r="L44" s="22" t="str">
        <f t="shared" si="0"/>
        <v/>
      </c>
      <c r="M44" s="72" t="str">
        <f t="shared" si="1"/>
        <v/>
      </c>
      <c r="N44" s="72" t="str">
        <f t="shared" si="2"/>
        <v/>
      </c>
      <c r="O44" s="73">
        <f t="shared" si="3"/>
        <v>478.00810789128906</v>
      </c>
      <c r="P44" s="73">
        <f t="shared" si="4"/>
        <v>603.33677323334246</v>
      </c>
      <c r="Q44" s="10" t="str">
        <f>IFERROR((VLOOKUP(A44,GM_Table,8,FALSE)-SUMIFS(D:D,A:A,A44,B:B,B44,C:C,C44)),"")</f>
        <v/>
      </c>
      <c r="R44" s="10" t="str">
        <f>IFERROR(CONCATENATE(VLOOKUP(A44,GM_Table,12,FALSE)," ",(VLOOKUP(A44,GM_Table,13,FALSE))),"")</f>
        <v/>
      </c>
      <c r="T44" s="203">
        <v>623.00903337931038</v>
      </c>
      <c r="U44" s="203">
        <v>0</v>
      </c>
      <c r="V44" s="204" t="s">
        <v>2597</v>
      </c>
      <c r="W44" s="203">
        <v>556.25806551724145</v>
      </c>
      <c r="X44" s="205">
        <v>-10.714285714285708</v>
      </c>
      <c r="Y44" s="204" t="s">
        <v>2597</v>
      </c>
      <c r="Z44" s="204" t="s">
        <v>2597</v>
      </c>
      <c r="AA44" s="204" t="s">
        <v>2597</v>
      </c>
      <c r="AB44" s="204" t="s">
        <v>2597</v>
      </c>
      <c r="AC44" s="204" t="s">
        <v>2597</v>
      </c>
    </row>
    <row r="45" spans="1:29" ht="15">
      <c r="A45" s="69" t="s">
        <v>856</v>
      </c>
      <c r="B45" s="69" t="s">
        <v>1830</v>
      </c>
      <c r="C45" s="69"/>
      <c r="D45" s="71">
        <v>5.7786</v>
      </c>
      <c r="E45" s="71">
        <v>2762.2264315090183</v>
      </c>
      <c r="F45" s="71">
        <v>3303.2291983477999</v>
      </c>
      <c r="G45" s="70">
        <v>0</v>
      </c>
      <c r="H45" s="70">
        <v>0</v>
      </c>
      <c r="I45" s="70">
        <v>0</v>
      </c>
      <c r="J45" s="144" t="b">
        <f>IF(ISBLANK(CertifiedCrop[[#This Row],[1. Identifiant interne d’exploitation agricole*]]),"",IF(ISERROR(MATCH(CertifiedCrop[[#This Row],[1. Identifiant interne d’exploitation agricole*]],GroupMember[1. Identifiant interne d’exploitation agricole*],0)),FALSE,TRUE))</f>
        <v>1</v>
      </c>
      <c r="K45" s="144" t="b">
        <f t="array" ref="K45">IF(ISBLANK(CertifiedCrop[[#This Row],[2. Produit agricole certifié*]]),"",IF(ISERROR(MATCH(1,(#REF!=CertifiedCrop[[#This Row],[2. Produit agricole certifié*]])*(#REF!=CertifiedCrop[[#This Row],[3. Variété**]]),0)),FALSE,TRUE))</f>
        <v>0</v>
      </c>
      <c r="L45" s="22" t="str">
        <f t="shared" si="0"/>
        <v/>
      </c>
      <c r="M45" s="72" t="str">
        <f t="shared" si="1"/>
        <v/>
      </c>
      <c r="N45" s="72" t="str">
        <f t="shared" si="2"/>
        <v/>
      </c>
      <c r="O45" s="73">
        <f t="shared" si="3"/>
        <v>478.00962716038805</v>
      </c>
      <c r="P45" s="73">
        <f t="shared" si="4"/>
        <v>571.63139832274248</v>
      </c>
      <c r="Q45" s="10" t="str">
        <f>IFERROR((VLOOKUP(A45,GM_Table,8,FALSE)-SUMIFS(D:D,A:A,A45,B:B,B45,C:C,C45)),"")</f>
        <v/>
      </c>
      <c r="R45" s="10" t="str">
        <f>IFERROR(CONCATENATE(VLOOKUP(A45,GM_Table,12,FALSE)," ",(VLOOKUP(A45,GM_Table,13,FALSE))),"")</f>
        <v/>
      </c>
      <c r="T45" s="203">
        <v>623.54708724393367</v>
      </c>
      <c r="U45" s="203">
        <v>0</v>
      </c>
      <c r="V45" s="204" t="s">
        <v>2597</v>
      </c>
      <c r="W45" s="203">
        <v>556.73847075351216</v>
      </c>
      <c r="X45" s="205">
        <v>-10.714285714285722</v>
      </c>
      <c r="Y45" s="204" t="s">
        <v>2597</v>
      </c>
      <c r="Z45" s="204" t="s">
        <v>2597</v>
      </c>
      <c r="AA45" s="204" t="s">
        <v>2597</v>
      </c>
      <c r="AB45" s="204" t="s">
        <v>2597</v>
      </c>
      <c r="AC45" s="204" t="s">
        <v>2597</v>
      </c>
    </row>
    <row r="46" spans="1:29" ht="15">
      <c r="A46" s="69" t="s">
        <v>859</v>
      </c>
      <c r="B46" s="69" t="s">
        <v>1830</v>
      </c>
      <c r="C46" s="69"/>
      <c r="D46" s="71">
        <v>2.0571999999999999</v>
      </c>
      <c r="E46" s="71">
        <v>983.66890855221641</v>
      </c>
      <c r="F46" s="71">
        <v>1276.8367767168493</v>
      </c>
      <c r="G46" s="70">
        <v>0</v>
      </c>
      <c r="H46" s="70">
        <v>0</v>
      </c>
      <c r="I46" s="70">
        <v>0</v>
      </c>
      <c r="J46" s="144" t="b">
        <f>IF(ISBLANK(CertifiedCrop[[#This Row],[1. Identifiant interne d’exploitation agricole*]]),"",IF(ISERROR(MATCH(CertifiedCrop[[#This Row],[1. Identifiant interne d’exploitation agricole*]],GroupMember[1. Identifiant interne d’exploitation agricole*],0)),FALSE,TRUE))</f>
        <v>1</v>
      </c>
      <c r="K46" s="144" t="b">
        <f t="array" ref="K46">IF(ISBLANK(CertifiedCrop[[#This Row],[2. Produit agricole certifié*]]),"",IF(ISERROR(MATCH(1,(#REF!=CertifiedCrop[[#This Row],[2. Produit agricole certifié*]])*(#REF!=CertifiedCrop[[#This Row],[3. Variété**]]),0)),FALSE,TRUE))</f>
        <v>0</v>
      </c>
      <c r="L46" s="22" t="str">
        <f t="shared" si="0"/>
        <v/>
      </c>
      <c r="M46" s="72" t="str">
        <f t="shared" si="1"/>
        <v/>
      </c>
      <c r="N46" s="72" t="str">
        <f t="shared" si="2"/>
        <v/>
      </c>
      <c r="O46" s="73">
        <f t="shared" si="3"/>
        <v>478.15910390444122</v>
      </c>
      <c r="P46" s="73">
        <f t="shared" si="4"/>
        <v>620.66730347892735</v>
      </c>
      <c r="Q46" s="10" t="str">
        <f>IFERROR((VLOOKUP(A46,GM_Table,8,FALSE)-SUMIFS(D:D,A:A,A46,B:B,B46,C:C,C46)),"")</f>
        <v/>
      </c>
      <c r="R46" s="10" t="str">
        <f>IFERROR(CONCATENATE(VLOOKUP(A46,GM_Table,12,FALSE)," ",(VLOOKUP(A46,GM_Table,13,FALSE))),"")</f>
        <v/>
      </c>
      <c r="T46" s="203">
        <v>620.66730347892735</v>
      </c>
      <c r="U46" s="203">
        <v>0</v>
      </c>
      <c r="V46" s="204" t="s">
        <v>2597</v>
      </c>
      <c r="W46" s="203">
        <v>554.16723524904228</v>
      </c>
      <c r="X46" s="205">
        <v>-10.714285714285714</v>
      </c>
      <c r="Y46" s="204" t="s">
        <v>2597</v>
      </c>
      <c r="Z46" s="204" t="s">
        <v>2597</v>
      </c>
      <c r="AA46" s="204" t="s">
        <v>2597</v>
      </c>
      <c r="AB46" s="204" t="s">
        <v>2597</v>
      </c>
      <c r="AC46" s="204" t="s">
        <v>2597</v>
      </c>
    </row>
    <row r="47" spans="1:29" ht="15">
      <c r="A47" s="69" t="s">
        <v>862</v>
      </c>
      <c r="B47" s="69" t="s">
        <v>1830</v>
      </c>
      <c r="C47" s="69"/>
      <c r="D47" s="71">
        <v>4.9996999999999998</v>
      </c>
      <c r="E47" s="71">
        <v>2390.7576821860735</v>
      </c>
      <c r="F47" s="71">
        <v>3004.5348167235402</v>
      </c>
      <c r="G47" s="70">
        <v>0</v>
      </c>
      <c r="H47" s="70">
        <v>0</v>
      </c>
      <c r="I47" s="70">
        <v>0</v>
      </c>
      <c r="J47" s="144" t="b">
        <f>IF(ISBLANK(CertifiedCrop[[#This Row],[1. Identifiant interne d’exploitation agricole*]]),"",IF(ISERROR(MATCH(CertifiedCrop[[#This Row],[1. Identifiant interne d’exploitation agricole*]],GroupMember[1. Identifiant interne d’exploitation agricole*],0)),FALSE,TRUE))</f>
        <v>1</v>
      </c>
      <c r="K47" s="144" t="b">
        <f t="array" ref="K47">IF(ISBLANK(CertifiedCrop[[#This Row],[2. Produit agricole certifié*]]),"",IF(ISERROR(MATCH(1,(#REF!=CertifiedCrop[[#This Row],[2. Produit agricole certifié*]])*(#REF!=CertifiedCrop[[#This Row],[3. Variété**]]),0)),FALSE,TRUE))</f>
        <v>0</v>
      </c>
      <c r="L47" s="22" t="str">
        <f t="shared" si="0"/>
        <v/>
      </c>
      <c r="M47" s="72" t="str">
        <f t="shared" si="1"/>
        <v/>
      </c>
      <c r="N47" s="72" t="str">
        <f t="shared" si="2"/>
        <v/>
      </c>
      <c r="O47" s="73">
        <f t="shared" si="3"/>
        <v>478.18022725084978</v>
      </c>
      <c r="P47" s="73">
        <f t="shared" si="4"/>
        <v>600.94301992590363</v>
      </c>
      <c r="Q47" s="10" t="str">
        <f>IFERROR((VLOOKUP(A47,GM_Table,8,FALSE)-SUMIFS(D:D,A:A,A47,B:B,B47,C:C,C47)),"")</f>
        <v/>
      </c>
      <c r="R47" s="10" t="str">
        <f>IFERROR(CONCATENATE(VLOOKUP(A47,GM_Table,12,FALSE)," ",(VLOOKUP(A47,GM_Table,13,FALSE))),"")</f>
        <v/>
      </c>
      <c r="T47" s="203">
        <v>622.94434000510853</v>
      </c>
      <c r="U47" s="203">
        <v>0</v>
      </c>
      <c r="V47" s="204" t="s">
        <v>2597</v>
      </c>
      <c r="W47" s="203">
        <v>556.20030357598978</v>
      </c>
      <c r="X47" s="205">
        <v>-10.714285714285712</v>
      </c>
      <c r="Y47" s="204" t="s">
        <v>2597</v>
      </c>
      <c r="Z47" s="204" t="s">
        <v>2597</v>
      </c>
      <c r="AA47" s="204" t="s">
        <v>2597</v>
      </c>
      <c r="AB47" s="204" t="s">
        <v>2597</v>
      </c>
      <c r="AC47" s="204" t="s">
        <v>2597</v>
      </c>
    </row>
    <row r="48" spans="1:29" ht="15">
      <c r="A48" s="69" t="s">
        <v>866</v>
      </c>
      <c r="B48" s="69" t="s">
        <v>1830</v>
      </c>
      <c r="C48" s="69"/>
      <c r="D48" s="71">
        <v>0.71479999999999999</v>
      </c>
      <c r="E48" s="71">
        <v>341.95189378753383</v>
      </c>
      <c r="F48" s="71">
        <v>387.59606562339303</v>
      </c>
      <c r="G48" s="70">
        <v>0</v>
      </c>
      <c r="H48" s="70">
        <v>0</v>
      </c>
      <c r="I48" s="70">
        <v>0</v>
      </c>
      <c r="J48" s="144" t="b">
        <f>IF(ISBLANK(CertifiedCrop[[#This Row],[1. Identifiant interne d’exploitation agricole*]]),"",IF(ISERROR(MATCH(CertifiedCrop[[#This Row],[1. Identifiant interne d’exploitation agricole*]],GroupMember[1. Identifiant interne d’exploitation agricole*],0)),FALSE,TRUE))</f>
        <v>1</v>
      </c>
      <c r="K48" s="144" t="b">
        <f t="array" ref="K48">IF(ISBLANK(CertifiedCrop[[#This Row],[2. Produit agricole certifié*]]),"",IF(ISERROR(MATCH(1,(#REF!=CertifiedCrop[[#This Row],[2. Produit agricole certifié*]])*(#REF!=CertifiedCrop[[#This Row],[3. Variété**]]),0)),FALSE,TRUE))</f>
        <v>0</v>
      </c>
      <c r="L48" s="22" t="str">
        <f t="shared" si="0"/>
        <v/>
      </c>
      <c r="M48" s="72" t="str">
        <f t="shared" si="1"/>
        <v/>
      </c>
      <c r="N48" s="72" t="str">
        <f t="shared" si="2"/>
        <v/>
      </c>
      <c r="O48" s="73">
        <f t="shared" si="3"/>
        <v>478.38821179005851</v>
      </c>
      <c r="P48" s="73">
        <f t="shared" si="4"/>
        <v>542.24407613793096</v>
      </c>
      <c r="Q48" s="10" t="str">
        <f>IFERROR((VLOOKUP(A48,GM_Table,8,FALSE)-SUMIFS(D:D,A:A,A48,B:B,B48,C:C,C48)),"")</f>
        <v/>
      </c>
      <c r="R48" s="10" t="str">
        <f>IFERROR(CONCATENATE(VLOOKUP(A48,GM_Table,12,FALSE)," ",(VLOOKUP(A48,GM_Table,13,FALSE))),"")</f>
        <v/>
      </c>
      <c r="T48" s="203">
        <v>542.24407613793096</v>
      </c>
      <c r="U48" s="203">
        <v>0</v>
      </c>
      <c r="V48" s="204" t="s">
        <v>2597</v>
      </c>
      <c r="W48" s="203">
        <v>484.14649655172411</v>
      </c>
      <c r="X48" s="205">
        <v>-10.714285714285706</v>
      </c>
      <c r="Y48" s="204" t="s">
        <v>2597</v>
      </c>
      <c r="Z48" s="204" t="s">
        <v>2597</v>
      </c>
      <c r="AA48" s="204" t="s">
        <v>2597</v>
      </c>
      <c r="AB48" s="204" t="s">
        <v>2597</v>
      </c>
      <c r="AC48" s="204" t="s">
        <v>2597</v>
      </c>
    </row>
    <row r="49" spans="1:29" ht="15">
      <c r="A49" s="69" t="s">
        <v>869</v>
      </c>
      <c r="B49" s="69" t="s">
        <v>1830</v>
      </c>
      <c r="C49" s="69"/>
      <c r="D49" s="71">
        <v>2.8917999999999999</v>
      </c>
      <c r="E49" s="71">
        <v>1383.8631198064152</v>
      </c>
      <c r="F49" s="71">
        <v>1596.7133782718499</v>
      </c>
      <c r="G49" s="70">
        <v>0</v>
      </c>
      <c r="H49" s="70">
        <v>0</v>
      </c>
      <c r="I49" s="70">
        <v>0</v>
      </c>
      <c r="J49" s="144" t="b">
        <f>IF(ISBLANK(CertifiedCrop[[#This Row],[1. Identifiant interne d’exploitation agricole*]]),"",IF(ISERROR(MATCH(CertifiedCrop[[#This Row],[1. Identifiant interne d’exploitation agricole*]],GroupMember[1. Identifiant interne d’exploitation agricole*],0)),FALSE,TRUE))</f>
        <v>1</v>
      </c>
      <c r="K49" s="144" t="b">
        <f t="array" ref="K49">IF(ISBLANK(CertifiedCrop[[#This Row],[2. Produit agricole certifié*]]),"",IF(ISERROR(MATCH(1,(#REF!=CertifiedCrop[[#This Row],[2. Produit agricole certifié*]])*(#REF!=CertifiedCrop[[#This Row],[3. Variété**]]),0)),FALSE,TRUE))</f>
        <v>0</v>
      </c>
      <c r="L49" s="22" t="str">
        <f t="shared" si="0"/>
        <v/>
      </c>
      <c r="M49" s="72" t="str">
        <f t="shared" si="1"/>
        <v/>
      </c>
      <c r="N49" s="72" t="str">
        <f t="shared" si="2"/>
        <v/>
      </c>
      <c r="O49" s="73">
        <f t="shared" si="3"/>
        <v>478.54731302524903</v>
      </c>
      <c r="P49" s="73">
        <f t="shared" si="4"/>
        <v>552.15207769273457</v>
      </c>
      <c r="Q49" s="10" t="str">
        <f>IFERROR((VLOOKUP(A49,GM_Table,8,FALSE)-SUMIFS(D:D,A:A,A49,B:B,B49,C:C,C49)),"")</f>
        <v/>
      </c>
      <c r="R49" s="10" t="str">
        <f>IFERROR(CONCATENATE(VLOOKUP(A49,GM_Table,12,FALSE)," ",(VLOOKUP(A49,GM_Table,13,FALSE))),"")</f>
        <v/>
      </c>
      <c r="T49" s="203">
        <v>621.31315383908043</v>
      </c>
      <c r="U49" s="203">
        <v>0</v>
      </c>
      <c r="V49" s="204" t="s">
        <v>2597</v>
      </c>
      <c r="W49" s="203">
        <v>554.74388735632181</v>
      </c>
      <c r="X49" s="205">
        <v>-10.714285714285715</v>
      </c>
      <c r="Y49" s="204" t="s">
        <v>2597</v>
      </c>
      <c r="Z49" s="204" t="s">
        <v>2597</v>
      </c>
      <c r="AA49" s="204" t="s">
        <v>2597</v>
      </c>
      <c r="AB49" s="204" t="s">
        <v>2597</v>
      </c>
      <c r="AC49" s="204" t="s">
        <v>2597</v>
      </c>
    </row>
    <row r="50" spans="1:29" ht="15">
      <c r="A50" s="69" t="s">
        <v>872</v>
      </c>
      <c r="B50" s="69" t="s">
        <v>1830</v>
      </c>
      <c r="C50" s="69"/>
      <c r="D50" s="71">
        <v>2.3153000000000001</v>
      </c>
      <c r="E50" s="71">
        <v>1108.203509328536</v>
      </c>
      <c r="F50" s="71">
        <v>1437.4934407272194</v>
      </c>
      <c r="G50" s="70">
        <v>0</v>
      </c>
      <c r="H50" s="70">
        <v>0</v>
      </c>
      <c r="I50" s="70">
        <v>0</v>
      </c>
      <c r="J50" s="145" t="b">
        <f>IF(ISBLANK(CertifiedCrop[[#This Row],[1. Identifiant interne d’exploitation agricole*]]),"",IF(ISERROR(MATCH(CertifiedCrop[[#This Row],[1. Identifiant interne d’exploitation agricole*]],GroupMember[1. Identifiant interne d’exploitation agricole*],0)),FALSE,TRUE))</f>
        <v>1</v>
      </c>
      <c r="K50" s="145" t="b">
        <f t="array" ref="K50">IF(ISBLANK(CertifiedCrop[[#This Row],[2. Produit agricole certifié*]]),"",IF(ISERROR(MATCH(1,(#REF!=CertifiedCrop[[#This Row],[2. Produit agricole certifié*]])*(#REF!=CertifiedCrop[[#This Row],[3. Variété**]]),0)),FALSE,TRUE))</f>
        <v>0</v>
      </c>
      <c r="L50" s="74" t="str">
        <f t="shared" si="0"/>
        <v/>
      </c>
      <c r="M50" s="72" t="str">
        <f t="shared" si="1"/>
        <v/>
      </c>
      <c r="N50" s="75" t="str">
        <f t="shared" si="2"/>
        <v/>
      </c>
      <c r="O50" s="76">
        <f t="shared" si="3"/>
        <v>478.64359233297455</v>
      </c>
      <c r="P50" s="76">
        <f t="shared" si="4"/>
        <v>620.86703266411234</v>
      </c>
      <c r="Q50" s="43" t="str">
        <f>IFERROR((VLOOKUP(A50,GM_Table,8,FALSE)-SUMIFS(D:D,A:A,A50,B:B,B50,C:C,C50)),"")</f>
        <v/>
      </c>
      <c r="R50" s="43" t="str">
        <f>IFERROR(CONCATENATE(VLOOKUP(A50,GM_Table,12,FALSE)," ",(VLOOKUP(A50,GM_Table,13,FALSE))),"")</f>
        <v/>
      </c>
      <c r="T50" s="203">
        <v>620.86703266411234</v>
      </c>
      <c r="U50" s="203">
        <v>0</v>
      </c>
      <c r="V50" s="204" t="s">
        <v>2597</v>
      </c>
      <c r="W50" s="203">
        <v>554.34556487867178</v>
      </c>
      <c r="X50" s="205">
        <v>-10.714285714285706</v>
      </c>
      <c r="Y50" s="204" t="s">
        <v>2597</v>
      </c>
      <c r="Z50" s="204" t="s">
        <v>2597</v>
      </c>
      <c r="AA50" s="204" t="s">
        <v>2597</v>
      </c>
      <c r="AB50" s="204" t="s">
        <v>2597</v>
      </c>
      <c r="AC50" s="204" t="s">
        <v>2597</v>
      </c>
    </row>
    <row r="51" spans="1:29" ht="15">
      <c r="A51" s="182" t="s">
        <v>877</v>
      </c>
      <c r="B51" s="182" t="s">
        <v>1830</v>
      </c>
      <c r="C51" s="182"/>
      <c r="D51" s="183">
        <v>2.0451000000000001</v>
      </c>
      <c r="E51" s="183">
        <v>979.30980173804232</v>
      </c>
      <c r="F51" s="183">
        <v>1269.307553020868</v>
      </c>
      <c r="G51" s="184">
        <v>0</v>
      </c>
      <c r="H51" s="184">
        <v>0</v>
      </c>
      <c r="I51" s="184">
        <v>0</v>
      </c>
      <c r="J51" s="177" t="b">
        <f>IF(ISBLANK(CertifiedCrop[[#This Row],[1. Identifiant interne d’exploitation agricole*]]),"",IF(ISERROR(MATCH(CertifiedCrop[[#This Row],[1. Identifiant interne d’exploitation agricole*]],GroupMember[1. Identifiant interne d’exploitation agricole*],0)),FALSE,TRUE))</f>
        <v>1</v>
      </c>
      <c r="K51" s="177" t="b">
        <f t="array" ref="K51">IF(ISBLANK(CertifiedCrop[[#This Row],[2. Produit agricole certifié*]]),"",IF(ISERROR(MATCH(1,(#REF!=CertifiedCrop[[#This Row],[2. Produit agricole certifié*]])*(#REF!=CertifiedCrop[[#This Row],[3. Variété**]]),0)),FALSE,TRUE))</f>
        <v>0</v>
      </c>
      <c r="L51" s="185" t="str">
        <f t="shared" si="0"/>
        <v/>
      </c>
      <c r="M51" s="186" t="str">
        <f t="shared" si="1"/>
        <v/>
      </c>
      <c r="N51" s="187" t="str">
        <f t="shared" si="2"/>
        <v/>
      </c>
      <c r="O51" s="188">
        <f t="shared" si="3"/>
        <v>478.85668267470652</v>
      </c>
      <c r="P51" s="188">
        <f t="shared" si="4"/>
        <v>620.65793996424031</v>
      </c>
      <c r="Q51" s="178" t="str">
        <f>IFERROR((VLOOKUP(A51,GM_Table,8,FALSE)-SUMIFS(D:D,A:A,A51,B:B,B51,C:C,C51)),"")</f>
        <v/>
      </c>
      <c r="R51" s="178" t="str">
        <f>IFERROR(CONCATENATE(VLOOKUP(A51,GM_Table,12,FALSE)," ",(VLOOKUP(A51,GM_Table,13,FALSE))),"")</f>
        <v/>
      </c>
      <c r="T51" s="203">
        <v>620.65793996424031</v>
      </c>
      <c r="U51" s="203">
        <v>0</v>
      </c>
      <c r="V51" s="204" t="s">
        <v>2597</v>
      </c>
      <c r="W51" s="203">
        <v>554.1588749680717</v>
      </c>
      <c r="X51" s="205">
        <v>-10.714285714285715</v>
      </c>
      <c r="Y51" s="204" t="s">
        <v>2597</v>
      </c>
      <c r="Z51" s="204" t="s">
        <v>2597</v>
      </c>
      <c r="AA51" s="204" t="s">
        <v>2597</v>
      </c>
      <c r="AB51" s="204" t="s">
        <v>2597</v>
      </c>
      <c r="AC51" s="204" t="s">
        <v>2597</v>
      </c>
    </row>
    <row r="52" spans="1:29" ht="15">
      <c r="A52" s="182" t="s">
        <v>881</v>
      </c>
      <c r="B52" s="182" t="s">
        <v>1830</v>
      </c>
      <c r="C52" s="182"/>
      <c r="D52" s="183">
        <v>5.0892999999999997</v>
      </c>
      <c r="E52" s="183">
        <v>2437.5712702973669</v>
      </c>
      <c r="F52" s="183">
        <v>3000.7035035287099</v>
      </c>
      <c r="G52" s="184">
        <v>0</v>
      </c>
      <c r="H52" s="184">
        <v>0</v>
      </c>
      <c r="I52" s="184">
        <v>0</v>
      </c>
      <c r="J52" s="177" t="b">
        <f>IF(ISBLANK(CertifiedCrop[[#This Row],[1. Identifiant interne d’exploitation agricole*]]),"",IF(ISERROR(MATCH(CertifiedCrop[[#This Row],[1. Identifiant interne d’exploitation agricole*]],GroupMember[1. Identifiant interne d’exploitation agricole*],0)),FALSE,TRUE))</f>
        <v>1</v>
      </c>
      <c r="K52" s="177" t="b">
        <f t="array" ref="K52">IF(ISBLANK(CertifiedCrop[[#This Row],[2. Produit agricole certifié*]]),"",IF(ISERROR(MATCH(1,(#REF!=CertifiedCrop[[#This Row],[2. Produit agricole certifié*]])*(#REF!=CertifiedCrop[[#This Row],[3. Variété**]]),0)),FALSE,TRUE))</f>
        <v>0</v>
      </c>
      <c r="L52" s="185" t="str">
        <f t="shared" si="0"/>
        <v/>
      </c>
      <c r="M52" s="186" t="str">
        <f t="shared" si="1"/>
        <v/>
      </c>
      <c r="N52" s="187" t="str">
        <f t="shared" si="2"/>
        <v/>
      </c>
      <c r="O52" s="188">
        <f t="shared" si="3"/>
        <v>478.96002796010595</v>
      </c>
      <c r="P52" s="188">
        <f t="shared" si="4"/>
        <v>589.61026143648633</v>
      </c>
      <c r="Q52" s="178" t="str">
        <f>IFERROR((VLOOKUP(A52,GM_Table,8,FALSE)-SUMIFS(D:D,A:A,A52,B:B,B52,C:C,C52)),"")</f>
        <v/>
      </c>
      <c r="R52" s="178" t="str">
        <f>IFERROR(CONCATENATE(VLOOKUP(A52,GM_Table,12,FALSE)," ",(VLOOKUP(A52,GM_Table,13,FALSE))),"")</f>
        <v/>
      </c>
      <c r="T52" s="203">
        <v>623.0136764444444</v>
      </c>
      <c r="U52" s="203">
        <v>0</v>
      </c>
      <c r="V52" s="204" t="s">
        <v>2597</v>
      </c>
      <c r="W52" s="203">
        <v>556.26221111111113</v>
      </c>
      <c r="X52" s="205">
        <v>-10.714285714285705</v>
      </c>
      <c r="Y52" s="204" t="s">
        <v>2597</v>
      </c>
      <c r="Z52" s="204" t="s">
        <v>2597</v>
      </c>
      <c r="AA52" s="204" t="s">
        <v>2597</v>
      </c>
      <c r="AB52" s="204" t="s">
        <v>2597</v>
      </c>
      <c r="AC52" s="204" t="s">
        <v>2597</v>
      </c>
    </row>
    <row r="53" spans="1:29" ht="15">
      <c r="A53" s="182" t="s">
        <v>885</v>
      </c>
      <c r="B53" s="182" t="s">
        <v>1830</v>
      </c>
      <c r="C53" s="182"/>
      <c r="D53" s="183">
        <v>2.6522000000000001</v>
      </c>
      <c r="E53" s="183">
        <v>1225.5786464467201</v>
      </c>
      <c r="F53" s="183">
        <v>1547.3549940738901</v>
      </c>
      <c r="G53" s="184">
        <v>0</v>
      </c>
      <c r="H53" s="184">
        <v>0</v>
      </c>
      <c r="I53" s="184">
        <v>0</v>
      </c>
      <c r="J53" s="177" t="b">
        <f>IF(ISBLANK(CertifiedCrop[[#This Row],[1. Identifiant interne d’exploitation agricole*]]),"",IF(ISERROR(MATCH(CertifiedCrop[[#This Row],[1. Identifiant interne d’exploitation agricole*]],GroupMember[1. Identifiant interne d’exploitation agricole*],0)),FALSE,TRUE))</f>
        <v>1</v>
      </c>
      <c r="K53" s="177" t="b">
        <f t="array" ref="K53">IF(ISBLANK(CertifiedCrop[[#This Row],[2. Produit agricole certifié*]]),"",IF(ISERROR(MATCH(1,(#REF!=CertifiedCrop[[#This Row],[2. Produit agricole certifié*]])*(#REF!=CertifiedCrop[[#This Row],[3. Variété**]]),0)),FALSE,TRUE))</f>
        <v>0</v>
      </c>
      <c r="L53" s="185" t="str">
        <f t="shared" si="0"/>
        <v/>
      </c>
      <c r="M53" s="186" t="str">
        <f t="shared" si="1"/>
        <v/>
      </c>
      <c r="N53" s="187" t="str">
        <f t="shared" si="2"/>
        <v/>
      </c>
      <c r="O53" s="188">
        <f t="shared" si="3"/>
        <v>462.09887883520099</v>
      </c>
      <c r="P53" s="188">
        <f t="shared" si="4"/>
        <v>583.42319360300507</v>
      </c>
      <c r="Q53" s="178" t="str">
        <f>IFERROR((VLOOKUP(A53,GM_Table,8,FALSE)-SUMIFS(D:D,A:A,A53,B:B,B53,C:C,C53)),"")</f>
        <v/>
      </c>
      <c r="R53" s="178" t="str">
        <f>IFERROR(CONCATENATE(VLOOKUP(A53,GM_Table,12,FALSE)," ",(VLOOKUP(A53,GM_Table,13,FALSE))),"")</f>
        <v/>
      </c>
      <c r="T53" s="203">
        <v>621.12774077139204</v>
      </c>
      <c r="U53" s="203">
        <v>0</v>
      </c>
      <c r="V53" s="204" t="s">
        <v>2597</v>
      </c>
      <c r="W53" s="203">
        <v>554.57833997445721</v>
      </c>
      <c r="X53" s="205">
        <v>-10.71428571428571</v>
      </c>
      <c r="Y53" s="204" t="s">
        <v>2597</v>
      </c>
      <c r="Z53" s="204" t="s">
        <v>2597</v>
      </c>
      <c r="AA53" s="204" t="s">
        <v>2597</v>
      </c>
      <c r="AB53" s="204" t="s">
        <v>2597</v>
      </c>
      <c r="AC53" s="204" t="s">
        <v>2597</v>
      </c>
    </row>
    <row r="54" spans="1:29" ht="15">
      <c r="A54" s="182" t="s">
        <v>889</v>
      </c>
      <c r="B54" s="182" t="s">
        <v>1830</v>
      </c>
      <c r="C54" s="182"/>
      <c r="D54" s="183">
        <v>3.8014999999999999</v>
      </c>
      <c r="E54" s="183">
        <v>1827.2321632958783</v>
      </c>
      <c r="F54" s="183">
        <v>2064.5980812916</v>
      </c>
      <c r="G54" s="184">
        <v>0</v>
      </c>
      <c r="H54" s="184">
        <v>0</v>
      </c>
      <c r="I54" s="184">
        <v>0</v>
      </c>
      <c r="J54" s="177" t="b">
        <f>IF(ISBLANK(CertifiedCrop[[#This Row],[1. Identifiant interne d’exploitation agricole*]]),"",IF(ISERROR(MATCH(CertifiedCrop[[#This Row],[1. Identifiant interne d’exploitation agricole*]],GroupMember[1. Identifiant interne d’exploitation agricole*],0)),FALSE,TRUE))</f>
        <v>1</v>
      </c>
      <c r="K54" s="177" t="b">
        <f t="array" ref="K54">IF(ISBLANK(CertifiedCrop[[#This Row],[2. Produit agricole certifié*]]),"",IF(ISERROR(MATCH(1,(#REF!=CertifiedCrop[[#This Row],[2. Produit agricole certifié*]])*(#REF!=CertifiedCrop[[#This Row],[3. Variété**]]),0)),FALSE,TRUE))</f>
        <v>0</v>
      </c>
      <c r="L54" s="185" t="str">
        <f t="shared" si="0"/>
        <v/>
      </c>
      <c r="M54" s="186" t="str">
        <f t="shared" si="1"/>
        <v/>
      </c>
      <c r="N54" s="187" t="str">
        <f t="shared" si="2"/>
        <v/>
      </c>
      <c r="O54" s="188">
        <f t="shared" si="3"/>
        <v>480.66083474835682</v>
      </c>
      <c r="P54" s="188">
        <f t="shared" si="4"/>
        <v>543.10090261517826</v>
      </c>
      <c r="Q54" s="178" t="str">
        <f>IFERROR((VLOOKUP(A54,GM_Table,8,FALSE)-SUMIFS(D:D,A:A,A54,B:B,B54,C:C,C54)),"")</f>
        <v/>
      </c>
      <c r="R54" s="178" t="str">
        <f>IFERROR(CONCATENATE(VLOOKUP(A54,GM_Table,12,FALSE)," ",(VLOOKUP(A54,GM_Table,13,FALSE))),"")</f>
        <v/>
      </c>
      <c r="T54" s="203">
        <v>622.01711989782871</v>
      </c>
      <c r="U54" s="203">
        <v>0</v>
      </c>
      <c r="V54" s="204" t="s">
        <v>2597</v>
      </c>
      <c r="W54" s="203">
        <v>555.37242848020423</v>
      </c>
      <c r="X54" s="205">
        <v>-10.71428571428571</v>
      </c>
      <c r="Y54" s="204" t="s">
        <v>2597</v>
      </c>
      <c r="Z54" s="204" t="s">
        <v>2597</v>
      </c>
      <c r="AA54" s="204" t="s">
        <v>2597</v>
      </c>
      <c r="AB54" s="204" t="s">
        <v>2597</v>
      </c>
      <c r="AC54" s="204" t="s">
        <v>2597</v>
      </c>
    </row>
    <row r="55" spans="1:29" ht="15">
      <c r="A55" s="182" t="s">
        <v>893</v>
      </c>
      <c r="B55" s="182" t="s">
        <v>1830</v>
      </c>
      <c r="C55" s="182"/>
      <c r="D55" s="183">
        <v>1.6072</v>
      </c>
      <c r="E55" s="183">
        <v>773.51713246051327</v>
      </c>
      <c r="F55" s="183">
        <v>996.97681508006747</v>
      </c>
      <c r="G55" s="184">
        <v>0</v>
      </c>
      <c r="H55" s="184">
        <v>0</v>
      </c>
      <c r="I55" s="184">
        <v>0</v>
      </c>
      <c r="J55" s="177" t="b">
        <f>IF(ISBLANK(CertifiedCrop[[#This Row],[1. Identifiant interne d’exploitation agricole*]]),"",IF(ISERROR(MATCH(CertifiedCrop[[#This Row],[1. Identifiant interne d’exploitation agricole*]],GroupMember[1. Identifiant interne d’exploitation agricole*],0)),FALSE,TRUE))</f>
        <v>1</v>
      </c>
      <c r="K55" s="177" t="b">
        <f t="array" ref="K55">IF(ISBLANK(CertifiedCrop[[#This Row],[2. Produit agricole certifié*]]),"",IF(ISERROR(MATCH(1,(#REF!=CertifiedCrop[[#This Row],[2. Produit agricole certifié*]])*(#REF!=CertifiedCrop[[#This Row],[3. Variété**]]),0)),FALSE,TRUE))</f>
        <v>0</v>
      </c>
      <c r="L55" s="185" t="str">
        <f t="shared" si="0"/>
        <v/>
      </c>
      <c r="M55" s="186" t="str">
        <f t="shared" si="1"/>
        <v/>
      </c>
      <c r="N55" s="187" t="str">
        <f t="shared" si="2"/>
        <v/>
      </c>
      <c r="O55" s="188">
        <f t="shared" si="3"/>
        <v>481.28243682212127</v>
      </c>
      <c r="P55" s="188">
        <f t="shared" si="4"/>
        <v>620.3190735938698</v>
      </c>
      <c r="Q55" s="178" t="str">
        <f>IFERROR((VLOOKUP(A55,GM_Table,8,FALSE)-SUMIFS(D:D,A:A,A55,B:B,B55,C:C,C55)),"")</f>
        <v/>
      </c>
      <c r="R55" s="178" t="str">
        <f>IFERROR(CONCATENATE(VLOOKUP(A55,GM_Table,12,FALSE)," ",(VLOOKUP(A55,GM_Table,13,FALSE))),"")</f>
        <v/>
      </c>
      <c r="T55" s="203">
        <v>620.3190735938698</v>
      </c>
      <c r="U55" s="203">
        <v>0</v>
      </c>
      <c r="V55" s="204" t="s">
        <v>2597</v>
      </c>
      <c r="W55" s="203">
        <v>553.8563157088123</v>
      </c>
      <c r="X55" s="205">
        <v>-10.714285714285717</v>
      </c>
      <c r="Y55" s="204" t="s">
        <v>2597</v>
      </c>
      <c r="Z55" s="204" t="s">
        <v>2597</v>
      </c>
      <c r="AA55" s="204" t="s">
        <v>2597</v>
      </c>
      <c r="AB55" s="204" t="s">
        <v>2597</v>
      </c>
      <c r="AC55" s="204" t="s">
        <v>2597</v>
      </c>
    </row>
    <row r="56" spans="1:29" ht="15">
      <c r="A56" s="182" t="s">
        <v>897</v>
      </c>
      <c r="B56" s="182" t="s">
        <v>1830</v>
      </c>
      <c r="C56" s="182"/>
      <c r="D56" s="183">
        <v>5.9503000000000004</v>
      </c>
      <c r="E56" s="183">
        <v>2864.7920962034777</v>
      </c>
      <c r="F56" s="183">
        <v>3011.0828439194602</v>
      </c>
      <c r="G56" s="184">
        <v>0</v>
      </c>
      <c r="H56" s="184">
        <v>0</v>
      </c>
      <c r="I56" s="184">
        <v>0</v>
      </c>
      <c r="J56" s="177" t="b">
        <f>IF(ISBLANK(CertifiedCrop[[#This Row],[1. Identifiant interne d’exploitation agricole*]]),"",IF(ISERROR(MATCH(CertifiedCrop[[#This Row],[1. Identifiant interne d’exploitation agricole*]],GroupMember[1. Identifiant interne d’exploitation agricole*],0)),FALSE,TRUE))</f>
        <v>1</v>
      </c>
      <c r="K56" s="177" t="b">
        <f t="array" ref="K56">IF(ISBLANK(CertifiedCrop[[#This Row],[2. Produit agricole certifié*]]),"",IF(ISERROR(MATCH(1,(#REF!=CertifiedCrop[[#This Row],[2. Produit agricole certifié*]])*(#REF!=CertifiedCrop[[#This Row],[3. Variété**]]),0)),FALSE,TRUE))</f>
        <v>0</v>
      </c>
      <c r="L56" s="185" t="str">
        <f t="shared" si="0"/>
        <v/>
      </c>
      <c r="M56" s="186" t="str">
        <f t="shared" si="1"/>
        <v/>
      </c>
      <c r="N56" s="187" t="str">
        <f t="shared" si="2"/>
        <v/>
      </c>
      <c r="O56" s="188">
        <f t="shared" si="3"/>
        <v>481.4533882667223</v>
      </c>
      <c r="P56" s="188">
        <f t="shared" si="4"/>
        <v>506.03882895307129</v>
      </c>
      <c r="Q56" s="178" t="str">
        <f>IFERROR((VLOOKUP(A56,GM_Table,8,FALSE)-SUMIFS(D:D,A:A,A56,B:B,B56,C:C,C56)),"")</f>
        <v/>
      </c>
      <c r="R56" s="178" t="str">
        <f>IFERROR(CONCATENATE(VLOOKUP(A56,GM_Table,12,FALSE)," ",(VLOOKUP(A56,GM_Table,13,FALSE))),"")</f>
        <v/>
      </c>
      <c r="T56" s="203">
        <v>623.67995629118786</v>
      </c>
      <c r="U56" s="203">
        <v>0</v>
      </c>
      <c r="V56" s="204" t="s">
        <v>2597</v>
      </c>
      <c r="W56" s="203">
        <v>556.8571038314177</v>
      </c>
      <c r="X56" s="205">
        <v>-10.714285714285719</v>
      </c>
      <c r="Y56" s="204" t="s">
        <v>2597</v>
      </c>
      <c r="Z56" s="204" t="s">
        <v>2597</v>
      </c>
      <c r="AA56" s="204" t="s">
        <v>2597</v>
      </c>
      <c r="AB56" s="204" t="s">
        <v>2597</v>
      </c>
      <c r="AC56" s="204" t="s">
        <v>2597</v>
      </c>
    </row>
    <row r="57" spans="1:29" ht="15">
      <c r="A57" s="182" t="s">
        <v>902</v>
      </c>
      <c r="B57" s="182" t="s">
        <v>1830</v>
      </c>
      <c r="C57" s="182"/>
      <c r="D57" s="183">
        <v>2.4291</v>
      </c>
      <c r="E57" s="183">
        <v>1171.0513824958525</v>
      </c>
      <c r="F57" s="183">
        <v>1508.3620240162388</v>
      </c>
      <c r="G57" s="184">
        <v>0</v>
      </c>
      <c r="H57" s="184">
        <v>0</v>
      </c>
      <c r="I57" s="184">
        <v>0</v>
      </c>
      <c r="J57" s="177" t="b">
        <f>IF(ISBLANK(CertifiedCrop[[#This Row],[1. Identifiant interne d’exploitation agricole*]]),"",IF(ISERROR(MATCH(CertifiedCrop[[#This Row],[1. Identifiant interne d’exploitation agricole*]],GroupMember[1. Identifiant interne d’exploitation agricole*],0)),FALSE,TRUE))</f>
        <v>1</v>
      </c>
      <c r="K57" s="177" t="b">
        <f t="array" ref="K57">IF(ISBLANK(CertifiedCrop[[#This Row],[2. Produit agricole certifié*]]),"",IF(ISERROR(MATCH(1,(#REF!=CertifiedCrop[[#This Row],[2. Produit agricole certifié*]])*(#REF!=CertifiedCrop[[#This Row],[3. Variété**]]),0)),FALSE,TRUE))</f>
        <v>0</v>
      </c>
      <c r="L57" s="185" t="str">
        <f t="shared" si="0"/>
        <v/>
      </c>
      <c r="M57" s="186" t="str">
        <f t="shared" si="1"/>
        <v/>
      </c>
      <c r="N57" s="187" t="str">
        <f t="shared" si="2"/>
        <v/>
      </c>
      <c r="O57" s="188">
        <f t="shared" si="3"/>
        <v>482.09270202785086</v>
      </c>
      <c r="P57" s="188">
        <f t="shared" si="4"/>
        <v>620.9550961328224</v>
      </c>
      <c r="Q57" s="178" t="str">
        <f>IFERROR((VLOOKUP(A57,GM_Table,8,FALSE)-SUMIFS(D:D,A:A,A57,B:B,B57,C:C,C57)),"")</f>
        <v/>
      </c>
      <c r="R57" s="178" t="str">
        <f>IFERROR(CONCATENATE(VLOOKUP(A57,GM_Table,12,FALSE)," ",(VLOOKUP(A57,GM_Table,13,FALSE))),"")</f>
        <v/>
      </c>
      <c r="T57" s="203">
        <v>620.9550961328224</v>
      </c>
      <c r="U57" s="203">
        <v>0</v>
      </c>
      <c r="V57" s="204" t="s">
        <v>2597</v>
      </c>
      <c r="W57" s="203">
        <v>554.42419297573429</v>
      </c>
      <c r="X57" s="205">
        <v>-10.714285714285715</v>
      </c>
      <c r="Y57" s="204" t="s">
        <v>2597</v>
      </c>
      <c r="Z57" s="204" t="s">
        <v>2597</v>
      </c>
      <c r="AA57" s="204" t="s">
        <v>2597</v>
      </c>
      <c r="AB57" s="204" t="s">
        <v>2597</v>
      </c>
      <c r="AC57" s="204" t="s">
        <v>2597</v>
      </c>
    </row>
    <row r="58" spans="1:29" ht="15">
      <c r="A58" s="182" t="s">
        <v>907</v>
      </c>
      <c r="B58" s="182" t="s">
        <v>1830</v>
      </c>
      <c r="C58" s="182"/>
      <c r="D58" s="183">
        <v>2.5219999999999998</v>
      </c>
      <c r="E58" s="183">
        <v>1217.5598558385061</v>
      </c>
      <c r="F58" s="183">
        <v>1566.2300593426307</v>
      </c>
      <c r="G58" s="184">
        <v>0</v>
      </c>
      <c r="H58" s="184">
        <v>0</v>
      </c>
      <c r="I58" s="184">
        <v>0</v>
      </c>
      <c r="J58" s="177" t="b">
        <f>IF(ISBLANK(CertifiedCrop[[#This Row],[1. Identifiant interne d’exploitation agricole*]]),"",IF(ISERROR(MATCH(CertifiedCrop[[#This Row],[1. Identifiant interne d’exploitation agricole*]],GroupMember[1. Identifiant interne d’exploitation agricole*],0)),FALSE,TRUE))</f>
        <v>1</v>
      </c>
      <c r="K58" s="177" t="b">
        <f t="array" ref="K58">IF(ISBLANK(CertifiedCrop[[#This Row],[2. Produit agricole certifié*]]),"",IF(ISERROR(MATCH(1,(#REF!=CertifiedCrop[[#This Row],[2. Produit agricole certifié*]])*(#REF!=CertifiedCrop[[#This Row],[3. Variété**]]),0)),FALSE,TRUE))</f>
        <v>0</v>
      </c>
      <c r="L58" s="185" t="str">
        <f t="shared" si="0"/>
        <v/>
      </c>
      <c r="M58" s="186" t="str">
        <f t="shared" si="1"/>
        <v/>
      </c>
      <c r="N58" s="187" t="str">
        <f t="shared" si="2"/>
        <v/>
      </c>
      <c r="O58" s="188">
        <f t="shared" si="3"/>
        <v>482.77551777894774</v>
      </c>
      <c r="P58" s="188">
        <f t="shared" si="4"/>
        <v>621.02698625798212</v>
      </c>
      <c r="Q58" s="178" t="str">
        <f>IFERROR((VLOOKUP(A58,GM_Table,8,FALSE)-SUMIFS(D:D,A:A,A58,B:B,B58,C:C,C58)),"")</f>
        <v/>
      </c>
      <c r="R58" s="178" t="str">
        <f>IFERROR(CONCATENATE(VLOOKUP(A58,GM_Table,12,FALSE)," ",(VLOOKUP(A58,GM_Table,13,FALSE))),"")</f>
        <v/>
      </c>
      <c r="T58" s="203">
        <v>621.02698625798212</v>
      </c>
      <c r="U58" s="203">
        <v>0</v>
      </c>
      <c r="V58" s="204" t="s">
        <v>2597</v>
      </c>
      <c r="W58" s="203">
        <v>554.48838058748402</v>
      </c>
      <c r="X58" s="205">
        <v>-10.714285714285717</v>
      </c>
      <c r="Y58" s="204" t="s">
        <v>2597</v>
      </c>
      <c r="Z58" s="204" t="s">
        <v>2597</v>
      </c>
      <c r="AA58" s="204" t="s">
        <v>2597</v>
      </c>
      <c r="AB58" s="204" t="s">
        <v>2597</v>
      </c>
      <c r="AC58" s="204" t="s">
        <v>2597</v>
      </c>
    </row>
    <row r="59" spans="1:29" ht="15">
      <c r="A59" s="182" t="s">
        <v>911</v>
      </c>
      <c r="B59" s="182" t="s">
        <v>1830</v>
      </c>
      <c r="C59" s="182"/>
      <c r="D59" s="183">
        <v>1.8323</v>
      </c>
      <c r="E59" s="183">
        <v>884.63023444548242</v>
      </c>
      <c r="F59" s="183">
        <v>1136.929811146714</v>
      </c>
      <c r="G59" s="184">
        <v>0</v>
      </c>
      <c r="H59" s="184">
        <v>0</v>
      </c>
      <c r="I59" s="184">
        <v>0</v>
      </c>
      <c r="J59" s="177" t="b">
        <f>IF(ISBLANK(CertifiedCrop[[#This Row],[1. Identifiant interne d’exploitation agricole*]]),"",IF(ISERROR(MATCH(CertifiedCrop[[#This Row],[1. Identifiant interne d’exploitation agricole*]],GroupMember[1. Identifiant interne d’exploitation agricole*],0)),FALSE,TRUE))</f>
        <v>1</v>
      </c>
      <c r="K59" s="177" t="b">
        <f t="array" ref="K59">IF(ISBLANK(CertifiedCrop[[#This Row],[2. Produit agricole certifié*]]),"",IF(ISERROR(MATCH(1,(#REF!=CertifiedCrop[[#This Row],[2. Produit agricole certifié*]])*(#REF!=CertifiedCrop[[#This Row],[3. Variété**]]),0)),FALSE,TRUE))</f>
        <v>0</v>
      </c>
      <c r="L59" s="185" t="str">
        <f t="shared" si="0"/>
        <v/>
      </c>
      <c r="M59" s="186" t="str">
        <f t="shared" si="1"/>
        <v/>
      </c>
      <c r="N59" s="187" t="str">
        <f t="shared" si="2"/>
        <v/>
      </c>
      <c r="O59" s="188">
        <f t="shared" si="3"/>
        <v>482.7977047674957</v>
      </c>
      <c r="P59" s="188">
        <f t="shared" si="4"/>
        <v>620.49326592081752</v>
      </c>
      <c r="Q59" s="178" t="str">
        <f>IFERROR((VLOOKUP(A59,GM_Table,8,FALSE)-SUMIFS(D:D,A:A,A59,B:B,B59,C:C,C59)),"")</f>
        <v/>
      </c>
      <c r="R59" s="178" t="str">
        <f>IFERROR(CONCATENATE(VLOOKUP(A59,GM_Table,12,FALSE)," ",(VLOOKUP(A59,GM_Table,13,FALSE))),"")</f>
        <v/>
      </c>
      <c r="T59" s="203">
        <v>620.49326592081752</v>
      </c>
      <c r="U59" s="203">
        <v>0</v>
      </c>
      <c r="V59" s="204" t="s">
        <v>2597</v>
      </c>
      <c r="W59" s="203">
        <v>554.01184457215845</v>
      </c>
      <c r="X59" s="205">
        <v>-10.714285714285722</v>
      </c>
      <c r="Y59" s="204" t="s">
        <v>2597</v>
      </c>
      <c r="Z59" s="204" t="s">
        <v>2597</v>
      </c>
      <c r="AA59" s="204" t="s">
        <v>2597</v>
      </c>
      <c r="AB59" s="204" t="s">
        <v>2597</v>
      </c>
      <c r="AC59" s="204" t="s">
        <v>2597</v>
      </c>
    </row>
    <row r="60" spans="1:29" ht="15">
      <c r="A60" s="182" t="s">
        <v>915</v>
      </c>
      <c r="B60" s="182" t="s">
        <v>1830</v>
      </c>
      <c r="C60" s="182"/>
      <c r="D60" s="183">
        <v>3.4163000000000001</v>
      </c>
      <c r="E60" s="183">
        <v>1649.98532665172</v>
      </c>
      <c r="F60" s="183">
        <v>2023.9787396675399</v>
      </c>
      <c r="G60" s="184">
        <v>0</v>
      </c>
      <c r="H60" s="184">
        <v>0</v>
      </c>
      <c r="I60" s="184">
        <v>0</v>
      </c>
      <c r="J60" s="177" t="b">
        <f>IF(ISBLANK(CertifiedCrop[[#This Row],[1. Identifiant interne d’exploitation agricole*]]),"",IF(ISERROR(MATCH(CertifiedCrop[[#This Row],[1. Identifiant interne d’exploitation agricole*]],GroupMember[1. Identifiant interne d’exploitation agricole*],0)),FALSE,TRUE))</f>
        <v>1</v>
      </c>
      <c r="K60" s="177" t="b">
        <f t="array" ref="K60">IF(ISBLANK(CertifiedCrop[[#This Row],[2. Produit agricole certifié*]]),"",IF(ISERROR(MATCH(1,(#REF!=CertifiedCrop[[#This Row],[2. Produit agricole certifié*]])*(#REF!=CertifiedCrop[[#This Row],[3. Variété**]]),0)),FALSE,TRUE))</f>
        <v>0</v>
      </c>
      <c r="L60" s="185" t="str">
        <f t="shared" si="0"/>
        <v/>
      </c>
      <c r="M60" s="186" t="str">
        <f t="shared" si="1"/>
        <v/>
      </c>
      <c r="N60" s="187" t="str">
        <f t="shared" si="2"/>
        <v/>
      </c>
      <c r="O60" s="188">
        <f t="shared" si="3"/>
        <v>482.97436602515</v>
      </c>
      <c r="P60" s="188">
        <f t="shared" si="4"/>
        <v>592.44760110866719</v>
      </c>
      <c r="Q60" s="178" t="str">
        <f>IFERROR((VLOOKUP(A60,GM_Table,8,FALSE)-SUMIFS(D:D,A:A,A60,B:B,B60,C:C,C60)),"")</f>
        <v/>
      </c>
      <c r="R60" s="178" t="str">
        <f>IFERROR(CONCATENATE(VLOOKUP(A60,GM_Table,12,FALSE)," ",(VLOOKUP(A60,GM_Table,13,FALSE))),"")</f>
        <v/>
      </c>
      <c r="T60" s="203">
        <v>621.71903511621963</v>
      </c>
      <c r="U60" s="203">
        <v>0</v>
      </c>
      <c r="V60" s="204" t="s">
        <v>2597</v>
      </c>
      <c r="W60" s="203">
        <v>555.10628135376749</v>
      </c>
      <c r="X60" s="205">
        <v>-10.714285714285721</v>
      </c>
      <c r="Y60" s="204" t="s">
        <v>2597</v>
      </c>
      <c r="Z60" s="204" t="s">
        <v>2597</v>
      </c>
      <c r="AA60" s="204" t="s">
        <v>2597</v>
      </c>
      <c r="AB60" s="204" t="s">
        <v>2597</v>
      </c>
      <c r="AC60" s="204" t="s">
        <v>2597</v>
      </c>
    </row>
    <row r="61" spans="1:29" ht="15">
      <c r="A61" s="182" t="s">
        <v>920</v>
      </c>
      <c r="B61" s="182" t="s">
        <v>1830</v>
      </c>
      <c r="C61" s="182"/>
      <c r="D61" s="183">
        <v>1.0627</v>
      </c>
      <c r="E61" s="183">
        <v>513.29520845394916</v>
      </c>
      <c r="F61" s="183">
        <v>658.76530219059623</v>
      </c>
      <c r="G61" s="184">
        <v>0</v>
      </c>
      <c r="H61" s="184">
        <v>0</v>
      </c>
      <c r="I61" s="184">
        <v>0</v>
      </c>
      <c r="J61" s="177" t="b">
        <f>IF(ISBLANK(CertifiedCrop[[#This Row],[1. Identifiant interne d’exploitation agricole*]]),"",IF(ISERROR(MATCH(CertifiedCrop[[#This Row],[1. Identifiant interne d’exploitation agricole*]],GroupMember[1. Identifiant interne d’exploitation agricole*],0)),FALSE,TRUE))</f>
        <v>1</v>
      </c>
      <c r="K61" s="177" t="b">
        <f t="array" ref="K61">IF(ISBLANK(CertifiedCrop[[#This Row],[2. Produit agricole certifié*]]),"",IF(ISERROR(MATCH(1,(#REF!=CertifiedCrop[[#This Row],[2. Produit agricole certifié*]])*(#REF!=CertifiedCrop[[#This Row],[3. Variété**]]),0)),FALSE,TRUE))</f>
        <v>0</v>
      </c>
      <c r="L61" s="185" t="str">
        <f t="shared" si="0"/>
        <v/>
      </c>
      <c r="M61" s="186" t="str">
        <f t="shared" si="1"/>
        <v/>
      </c>
      <c r="N61" s="187" t="str">
        <f t="shared" si="2"/>
        <v/>
      </c>
      <c r="O61" s="188">
        <f t="shared" si="3"/>
        <v>483.01045304784901</v>
      </c>
      <c r="P61" s="188">
        <f t="shared" si="4"/>
        <v>619.89771543295024</v>
      </c>
      <c r="Q61" s="178" t="str">
        <f>IFERROR((VLOOKUP(A61,GM_Table,8,FALSE)-SUMIFS(D:D,A:A,A61,B:B,B61,C:C,C61)),"")</f>
        <v/>
      </c>
      <c r="R61" s="178" t="str">
        <f>IFERROR(CONCATENATE(VLOOKUP(A61,GM_Table,12,FALSE)," ",(VLOOKUP(A61,GM_Table,13,FALSE))),"")</f>
        <v/>
      </c>
      <c r="T61" s="203">
        <v>619.89771543295024</v>
      </c>
      <c r="U61" s="203">
        <v>0</v>
      </c>
      <c r="V61" s="204" t="s">
        <v>2597</v>
      </c>
      <c r="W61" s="203">
        <v>553.48010306513413</v>
      </c>
      <c r="X61" s="205">
        <v>-10.714285714285715</v>
      </c>
      <c r="Y61" s="204" t="s">
        <v>2597</v>
      </c>
      <c r="Z61" s="204" t="s">
        <v>2597</v>
      </c>
      <c r="AA61" s="204" t="s">
        <v>2597</v>
      </c>
      <c r="AB61" s="204" t="s">
        <v>2597</v>
      </c>
      <c r="AC61" s="204" t="s">
        <v>2597</v>
      </c>
    </row>
    <row r="62" spans="1:29" ht="15">
      <c r="A62" s="182" t="s">
        <v>924</v>
      </c>
      <c r="B62" s="182" t="s">
        <v>1830</v>
      </c>
      <c r="C62" s="182"/>
      <c r="D62" s="183">
        <v>5.3579999999999997</v>
      </c>
      <c r="E62" s="183">
        <v>2591.6678924776306</v>
      </c>
      <c r="F62" s="183">
        <v>3039.2213776895001</v>
      </c>
      <c r="G62" s="184">
        <v>0</v>
      </c>
      <c r="H62" s="184">
        <v>0</v>
      </c>
      <c r="I62" s="184">
        <v>0</v>
      </c>
      <c r="J62" s="177" t="b">
        <f>IF(ISBLANK(CertifiedCrop[[#This Row],[1. Identifiant interne d’exploitation agricole*]]),"",IF(ISERROR(MATCH(CertifiedCrop[[#This Row],[1. Identifiant interne d’exploitation agricole*]],GroupMember[1. Identifiant interne d’exploitation agricole*],0)),FALSE,TRUE))</f>
        <v>1</v>
      </c>
      <c r="K62" s="177" t="b">
        <f t="array" ref="K62">IF(ISBLANK(CertifiedCrop[[#This Row],[2. Produit agricole certifié*]]),"",IF(ISERROR(MATCH(1,(#REF!=CertifiedCrop[[#This Row],[2. Produit agricole certifié*]])*(#REF!=CertifiedCrop[[#This Row],[3. Variété**]]),0)),FALSE,TRUE))</f>
        <v>0</v>
      </c>
      <c r="L62" s="185" t="str">
        <f t="shared" si="0"/>
        <v/>
      </c>
      <c r="M62" s="186" t="str">
        <f t="shared" si="1"/>
        <v/>
      </c>
      <c r="N62" s="187" t="str">
        <f t="shared" si="2"/>
        <v/>
      </c>
      <c r="O62" s="188">
        <f t="shared" si="3"/>
        <v>483.70061449750483</v>
      </c>
      <c r="P62" s="188">
        <f t="shared" si="4"/>
        <v>567.2305669446622</v>
      </c>
      <c r="Q62" s="178" t="str">
        <f>IFERROR((VLOOKUP(A62,GM_Table,8,FALSE)-SUMIFS(D:D,A:A,A62,B:B,B62,C:C,C62)),"")</f>
        <v/>
      </c>
      <c r="R62" s="178" t="str">
        <f>IFERROR(CONCATENATE(VLOOKUP(A62,GM_Table,12,FALSE)," ",(VLOOKUP(A62,GM_Table,13,FALSE))),"")</f>
        <v/>
      </c>
      <c r="T62" s="203">
        <v>623.22160837803312</v>
      </c>
      <c r="U62" s="203">
        <v>0</v>
      </c>
      <c r="V62" s="204" t="s">
        <v>2597</v>
      </c>
      <c r="W62" s="203">
        <v>556.44786462324385</v>
      </c>
      <c r="X62" s="205">
        <v>-10.714285714285717</v>
      </c>
      <c r="Y62" s="204" t="s">
        <v>2597</v>
      </c>
      <c r="Z62" s="204" t="s">
        <v>2597</v>
      </c>
      <c r="AA62" s="204" t="s">
        <v>2597</v>
      </c>
      <c r="AB62" s="204" t="s">
        <v>2597</v>
      </c>
      <c r="AC62" s="204" t="s">
        <v>2597</v>
      </c>
    </row>
    <row r="63" spans="1:29" ht="15">
      <c r="A63" s="182" t="s">
        <v>928</v>
      </c>
      <c r="B63" s="182" t="s">
        <v>1830</v>
      </c>
      <c r="C63" s="182"/>
      <c r="D63" s="183">
        <v>7.5636000000000001</v>
      </c>
      <c r="E63" s="183">
        <v>3659.9621687383969</v>
      </c>
      <c r="F63" s="183">
        <v>4126.7084395940801</v>
      </c>
      <c r="G63" s="184">
        <v>0</v>
      </c>
      <c r="H63" s="184">
        <v>0</v>
      </c>
      <c r="I63" s="184">
        <v>0</v>
      </c>
      <c r="J63" s="177" t="b">
        <f>IF(ISBLANK(CertifiedCrop[[#This Row],[1. Identifiant interne d’exploitation agricole*]]),"",IF(ISERROR(MATCH(CertifiedCrop[[#This Row],[1. Identifiant interne d’exploitation agricole*]],GroupMember[1. Identifiant interne d’exploitation agricole*],0)),FALSE,TRUE))</f>
        <v>1</v>
      </c>
      <c r="K63" s="177" t="b">
        <f t="array" ref="K63">IF(ISBLANK(CertifiedCrop[[#This Row],[2. Produit agricole certifié*]]),"",IF(ISERROR(MATCH(1,(#REF!=CertifiedCrop[[#This Row],[2. Produit agricole certifié*]])*(#REF!=CertifiedCrop[[#This Row],[3. Variété**]]),0)),FALSE,TRUE))</f>
        <v>0</v>
      </c>
      <c r="L63" s="185" t="str">
        <f t="shared" si="0"/>
        <v/>
      </c>
      <c r="M63" s="186" t="str">
        <f t="shared" si="1"/>
        <v/>
      </c>
      <c r="N63" s="187" t="str">
        <f t="shared" si="2"/>
        <v/>
      </c>
      <c r="O63" s="188">
        <f t="shared" si="3"/>
        <v>483.89155544164112</v>
      </c>
      <c r="P63" s="188">
        <f t="shared" si="4"/>
        <v>545.60109466313395</v>
      </c>
      <c r="Q63" s="178" t="str">
        <f>IFERROR((VLOOKUP(A63,GM_Table,8,FALSE)-SUMIFS(D:D,A:A,A63,B:B,B63,C:C,C63)),"")</f>
        <v/>
      </c>
      <c r="R63" s="178" t="str">
        <f>IFERROR(CONCATENATE(VLOOKUP(A63,GM_Table,12,FALSE)," ",(VLOOKUP(A63,GM_Table,13,FALSE))),"")</f>
        <v/>
      </c>
      <c r="T63" s="203">
        <v>624.92839912132831</v>
      </c>
      <c r="U63" s="203">
        <v>0</v>
      </c>
      <c r="V63" s="204" t="s">
        <v>2597</v>
      </c>
      <c r="W63" s="203">
        <v>557.9717849297574</v>
      </c>
      <c r="X63" s="205">
        <v>-10.714285714285717</v>
      </c>
      <c r="Y63" s="204" t="s">
        <v>2597</v>
      </c>
      <c r="Z63" s="204" t="s">
        <v>2597</v>
      </c>
      <c r="AA63" s="204" t="s">
        <v>2597</v>
      </c>
      <c r="AB63" s="204" t="s">
        <v>2597</v>
      </c>
      <c r="AC63" s="204" t="s">
        <v>2597</v>
      </c>
    </row>
    <row r="64" spans="1:29" ht="15">
      <c r="A64" s="182" t="s">
        <v>932</v>
      </c>
      <c r="B64" s="182" t="s">
        <v>1830</v>
      </c>
      <c r="C64" s="182"/>
      <c r="D64" s="183">
        <v>7.4547999999999996</v>
      </c>
      <c r="E64" s="183">
        <v>3607.9972742316945</v>
      </c>
      <c r="F64" s="183">
        <v>4058.0885784914399</v>
      </c>
      <c r="G64" s="184">
        <v>0</v>
      </c>
      <c r="H64" s="184">
        <v>0</v>
      </c>
      <c r="I64" s="184">
        <v>0</v>
      </c>
      <c r="J64" s="177" t="b">
        <f>IF(ISBLANK(CertifiedCrop[[#This Row],[1. Identifiant interne d’exploitation agricole*]]),"",IF(ISERROR(MATCH(CertifiedCrop[[#This Row],[1. Identifiant interne d’exploitation agricole*]],GroupMember[1. Identifiant interne d’exploitation agricole*],0)),FALSE,TRUE))</f>
        <v>1</v>
      </c>
      <c r="K64" s="177" t="b">
        <f t="array" ref="K64">IF(ISBLANK(CertifiedCrop[[#This Row],[2. Produit agricole certifié*]]),"",IF(ISERROR(MATCH(1,(#REF!=CertifiedCrop[[#This Row],[2. Produit agricole certifié*]])*(#REF!=CertifiedCrop[[#This Row],[3. Variété**]]),0)),FALSE,TRUE))</f>
        <v>0</v>
      </c>
      <c r="L64" s="185" t="str">
        <f t="shared" si="0"/>
        <v/>
      </c>
      <c r="M64" s="186" t="str">
        <f t="shared" si="1"/>
        <v/>
      </c>
      <c r="N64" s="187" t="str">
        <f t="shared" si="2"/>
        <v/>
      </c>
      <c r="O64" s="188">
        <f t="shared" si="3"/>
        <v>483.98310809568261</v>
      </c>
      <c r="P64" s="188">
        <f t="shared" si="4"/>
        <v>544.35914826574026</v>
      </c>
      <c r="Q64" s="178" t="str">
        <f>IFERROR((VLOOKUP(A64,GM_Table,8,FALSE)-SUMIFS(D:D,A:A,A64,B:B,B64,C:C,C64)),"")</f>
        <v/>
      </c>
      <c r="R64" s="178" t="str">
        <f>IFERROR(CONCATENATE(VLOOKUP(A64,GM_Table,12,FALSE)," ",(VLOOKUP(A64,GM_Table,13,FALSE))),"")</f>
        <v/>
      </c>
      <c r="T64" s="203">
        <v>624.84420487356329</v>
      </c>
      <c r="U64" s="203">
        <v>0</v>
      </c>
      <c r="V64" s="204" t="s">
        <v>2597</v>
      </c>
      <c r="W64" s="203">
        <v>557.89661149425297</v>
      </c>
      <c r="X64" s="205">
        <v>-10.71428571428571</v>
      </c>
      <c r="Y64" s="204" t="s">
        <v>2597</v>
      </c>
      <c r="Z64" s="204" t="s">
        <v>2597</v>
      </c>
      <c r="AA64" s="204" t="s">
        <v>2597</v>
      </c>
      <c r="AB64" s="204" t="s">
        <v>2597</v>
      </c>
      <c r="AC64" s="204" t="s">
        <v>2597</v>
      </c>
    </row>
    <row r="65" spans="1:29" ht="15">
      <c r="A65" s="182" t="s">
        <v>935</v>
      </c>
      <c r="B65" s="182" t="s">
        <v>1830</v>
      </c>
      <c r="C65" s="182"/>
      <c r="D65" s="183">
        <v>3.1745999999999999</v>
      </c>
      <c r="E65" s="183">
        <v>1537.2062705353924</v>
      </c>
      <c r="F65" s="183">
        <v>1673.1154775991699</v>
      </c>
      <c r="G65" s="184">
        <v>0</v>
      </c>
      <c r="H65" s="184">
        <v>0</v>
      </c>
      <c r="I65" s="184">
        <v>0</v>
      </c>
      <c r="J65" s="177" t="b">
        <f>IF(ISBLANK(CertifiedCrop[[#This Row],[1. Identifiant interne d’exploitation agricole*]]),"",IF(ISERROR(MATCH(CertifiedCrop[[#This Row],[1. Identifiant interne d’exploitation agricole*]],GroupMember[1. Identifiant interne d’exploitation agricole*],0)),FALSE,TRUE))</f>
        <v>1</v>
      </c>
      <c r="K65" s="177" t="b">
        <f t="array" ref="K65">IF(ISBLANK(CertifiedCrop[[#This Row],[2. Produit agricole certifié*]]),"",IF(ISERROR(MATCH(1,(#REF!=CertifiedCrop[[#This Row],[2. Produit agricole certifié*]])*(#REF!=CertifiedCrop[[#This Row],[3. Variété**]]),0)),FALSE,TRUE))</f>
        <v>0</v>
      </c>
      <c r="L65" s="185" t="str">
        <f t="shared" si="0"/>
        <v/>
      </c>
      <c r="M65" s="186" t="str">
        <f t="shared" si="1"/>
        <v/>
      </c>
      <c r="N65" s="187" t="str">
        <f t="shared" si="2"/>
        <v/>
      </c>
      <c r="O65" s="188">
        <f t="shared" si="3"/>
        <v>484.22045943910808</v>
      </c>
      <c r="P65" s="188">
        <f t="shared" si="4"/>
        <v>527.031902475641</v>
      </c>
      <c r="Q65" s="178" t="str">
        <f>IFERROR((VLOOKUP(A65,GM_Table,8,FALSE)-SUMIFS(D:D,A:A,A65,B:B,B65,C:C,C65)),"")</f>
        <v/>
      </c>
      <c r="R65" s="178" t="str">
        <f>IFERROR(CONCATENATE(VLOOKUP(A65,GM_Table,12,FALSE)," ",(VLOOKUP(A65,GM_Table,13,FALSE))),"")</f>
        <v/>
      </c>
      <c r="T65" s="203">
        <v>621.53199697573427</v>
      </c>
      <c r="U65" s="203">
        <v>0</v>
      </c>
      <c r="V65" s="204" t="s">
        <v>2597</v>
      </c>
      <c r="W65" s="203">
        <v>554.93928301404844</v>
      </c>
      <c r="X65" s="205">
        <v>-10.714285714285717</v>
      </c>
      <c r="Y65" s="204" t="s">
        <v>2597</v>
      </c>
      <c r="Z65" s="204" t="s">
        <v>2597</v>
      </c>
      <c r="AA65" s="204" t="s">
        <v>2597</v>
      </c>
      <c r="AB65" s="204" t="s">
        <v>2597</v>
      </c>
      <c r="AC65" s="204" t="s">
        <v>2597</v>
      </c>
    </row>
    <row r="66" spans="1:29" ht="15">
      <c r="A66" s="182" t="s">
        <v>939</v>
      </c>
      <c r="B66" s="182" t="s">
        <v>1830</v>
      </c>
      <c r="C66" s="182"/>
      <c r="D66" s="183">
        <v>11.025</v>
      </c>
      <c r="E66" s="183">
        <v>5338.7400361010787</v>
      </c>
      <c r="F66" s="183">
        <v>6119.3669919540198</v>
      </c>
      <c r="G66" s="184">
        <v>0</v>
      </c>
      <c r="H66" s="184">
        <v>0</v>
      </c>
      <c r="I66" s="184">
        <v>0</v>
      </c>
      <c r="J66" s="177" t="b">
        <f>IF(ISBLANK(CertifiedCrop[[#This Row],[1. Identifiant interne d’exploitation agricole*]]),"",IF(ISERROR(MATCH(CertifiedCrop[[#This Row],[1. Identifiant interne d’exploitation agricole*]],GroupMember[1. Identifiant interne d’exploitation agricole*],0)),FALSE,TRUE))</f>
        <v>1</v>
      </c>
      <c r="K66" s="177" t="b">
        <f t="array" ref="K66">IF(ISBLANK(CertifiedCrop[[#This Row],[2. Produit agricole certifié*]]),"",IF(ISERROR(MATCH(1,(#REF!=CertifiedCrop[[#This Row],[2. Produit agricole certifié*]])*(#REF!=CertifiedCrop[[#This Row],[3. Variété**]]),0)),FALSE,TRUE))</f>
        <v>0</v>
      </c>
      <c r="L66" s="185" t="str">
        <f t="shared" si="0"/>
        <v/>
      </c>
      <c r="M66" s="186" t="str">
        <f t="shared" si="1"/>
        <v/>
      </c>
      <c r="N66" s="187" t="str">
        <f t="shared" si="2"/>
        <v/>
      </c>
      <c r="O66" s="188">
        <f t="shared" si="3"/>
        <v>484.23945905678715</v>
      </c>
      <c r="P66" s="188">
        <f t="shared" si="4"/>
        <v>555.04462512054602</v>
      </c>
      <c r="Q66" s="178" t="str">
        <f>IFERROR((VLOOKUP(A66,GM_Table,8,FALSE)-SUMIFS(D:D,A:A,A66,B:B,B66,C:C,C66)),"")</f>
        <v/>
      </c>
      <c r="R66" s="178" t="str">
        <f>IFERROR(CONCATENATE(VLOOKUP(A66,GM_Table,12,FALSE)," ",(VLOOKUP(A66,GM_Table,13,FALSE))),"")</f>
        <v/>
      </c>
      <c r="T66" s="203">
        <v>627.60698339719022</v>
      </c>
      <c r="U66" s="203">
        <v>0</v>
      </c>
      <c r="V66" s="204" t="s">
        <v>2597</v>
      </c>
      <c r="W66" s="203">
        <v>560.36337803320555</v>
      </c>
      <c r="X66" s="205">
        <v>-10.714285714285715</v>
      </c>
      <c r="Y66" s="204" t="s">
        <v>2597</v>
      </c>
      <c r="Z66" s="204" t="s">
        <v>2597</v>
      </c>
      <c r="AA66" s="204" t="s">
        <v>2597</v>
      </c>
      <c r="AB66" s="204" t="s">
        <v>2597</v>
      </c>
      <c r="AC66" s="204" t="s">
        <v>2597</v>
      </c>
    </row>
    <row r="67" spans="1:29" ht="15">
      <c r="A67" s="182" t="s">
        <v>943</v>
      </c>
      <c r="B67" s="182" t="s">
        <v>1830</v>
      </c>
      <c r="C67" s="182"/>
      <c r="D67" s="183">
        <v>0.79400000000000004</v>
      </c>
      <c r="E67" s="183">
        <v>384.53903623009614</v>
      </c>
      <c r="F67" s="183">
        <v>430.59045949057469</v>
      </c>
      <c r="G67" s="184">
        <v>0</v>
      </c>
      <c r="H67" s="184">
        <v>0</v>
      </c>
      <c r="I67" s="184">
        <v>0</v>
      </c>
      <c r="J67" s="177" t="b">
        <f>IF(ISBLANK(CertifiedCrop[[#This Row],[1. Identifiant interne d’exploitation agricole*]]),"",IF(ISERROR(MATCH(CertifiedCrop[[#This Row],[1. Identifiant interne d’exploitation agricole*]],GroupMember[1. Identifiant interne d’exploitation agricole*],0)),FALSE,TRUE))</f>
        <v>1</v>
      </c>
      <c r="K67" s="177" t="b">
        <f t="array" ref="K67">IF(ISBLANK(CertifiedCrop[[#This Row],[2. Produit agricole certifié*]]),"",IF(ISERROR(MATCH(1,(#REF!=CertifiedCrop[[#This Row],[2. Produit agricole certifié*]])*(#REF!=CertifiedCrop[[#This Row],[3. Variété**]]),0)),FALSE,TRUE))</f>
        <v>0</v>
      </c>
      <c r="L67" s="185" t="str">
        <f t="shared" ref="L67:L130" si="5">IF((F67-G67)&lt;0,"!","")</f>
        <v/>
      </c>
      <c r="M67" s="186" t="str">
        <f t="shared" ref="M67:M130" si="6">IFERROR(IF((F67-G67)/G67&gt;25%,"!",IF((F67-G67)/G67&lt;-25%,"!","")),"")</f>
        <v/>
      </c>
      <c r="N67" s="187" t="str">
        <f t="shared" ref="N67:N130" si="7">IFERROR(IF((G67-H67)/H67&gt;25%,"!",IF((G67-H67)/H67&lt;-25%,"!","")),"")</f>
        <v/>
      </c>
      <c r="O67" s="188">
        <f t="shared" ref="O67:O130" si="8">IFERROR(E67/D67,"")</f>
        <v>484.30609096989434</v>
      </c>
      <c r="P67" s="188">
        <f t="shared" ref="P67:P130" si="9">IFERROR(F67/D67,"")</f>
        <v>542.3053645977011</v>
      </c>
      <c r="Q67" s="178" t="str">
        <f>IFERROR((VLOOKUP(A67,GM_Table,8,FALSE)-SUMIFS(D:D,A:A,A67,B:B,B67,C:C,C67)),"")</f>
        <v/>
      </c>
      <c r="R67" s="178" t="str">
        <f>IFERROR(CONCATENATE(VLOOKUP(A67,GM_Table,12,FALSE)," ",(VLOOKUP(A67,GM_Table,13,FALSE))),"")</f>
        <v/>
      </c>
      <c r="T67" s="203">
        <v>542.3053645977011</v>
      </c>
      <c r="U67" s="203">
        <v>0</v>
      </c>
      <c r="V67" s="204" t="s">
        <v>2597</v>
      </c>
      <c r="W67" s="203">
        <v>484.20121839080451</v>
      </c>
      <c r="X67" s="205">
        <v>-10.714285714285722</v>
      </c>
      <c r="Y67" s="204" t="s">
        <v>2597</v>
      </c>
      <c r="Z67" s="204" t="s">
        <v>2597</v>
      </c>
      <c r="AA67" s="204" t="s">
        <v>2597</v>
      </c>
      <c r="AB67" s="204" t="s">
        <v>2597</v>
      </c>
      <c r="AC67" s="204" t="s">
        <v>2597</v>
      </c>
    </row>
    <row r="68" spans="1:29" ht="15">
      <c r="A68" s="182" t="s">
        <v>946</v>
      </c>
      <c r="B68" s="182" t="s">
        <v>1830</v>
      </c>
      <c r="C68" s="182"/>
      <c r="D68" s="183">
        <v>2.2833999999999999</v>
      </c>
      <c r="E68" s="183">
        <v>1106.3847344197968</v>
      </c>
      <c r="F68" s="183">
        <v>1417.6314152185378</v>
      </c>
      <c r="G68" s="184">
        <v>0</v>
      </c>
      <c r="H68" s="184">
        <v>0</v>
      </c>
      <c r="I68" s="184">
        <v>0</v>
      </c>
      <c r="J68" s="177" t="b">
        <f>IF(ISBLANK(CertifiedCrop[[#This Row],[1. Identifiant interne d’exploitation agricole*]]),"",IF(ISERROR(MATCH(CertifiedCrop[[#This Row],[1. Identifiant interne d’exploitation agricole*]],GroupMember[1. Identifiant interne d’exploitation agricole*],0)),FALSE,TRUE))</f>
        <v>1</v>
      </c>
      <c r="K68" s="177" t="b">
        <f t="array" ref="K68">IF(ISBLANK(CertifiedCrop[[#This Row],[2. Produit agricole certifié*]]),"",IF(ISERROR(MATCH(1,(#REF!=CertifiedCrop[[#This Row],[2. Produit agricole certifié*]])*(#REF!=CertifiedCrop[[#This Row],[3. Variété**]]),0)),FALSE,TRUE))</f>
        <v>0</v>
      </c>
      <c r="L68" s="185" t="str">
        <f t="shared" si="5"/>
        <v/>
      </c>
      <c r="M68" s="186" t="str">
        <f t="shared" si="6"/>
        <v/>
      </c>
      <c r="N68" s="187" t="str">
        <f t="shared" si="7"/>
        <v/>
      </c>
      <c r="O68" s="188">
        <f t="shared" si="8"/>
        <v>484.53391189445426</v>
      </c>
      <c r="P68" s="188">
        <f t="shared" si="9"/>
        <v>620.84234703448271</v>
      </c>
      <c r="Q68" s="178" t="str">
        <f>IFERROR((VLOOKUP(A68,GM_Table,8,FALSE)-SUMIFS(D:D,A:A,A68,B:B,B68,C:C,C68)),"")</f>
        <v/>
      </c>
      <c r="R68" s="178" t="str">
        <f>IFERROR(CONCATENATE(VLOOKUP(A68,GM_Table,12,FALSE)," ",(VLOOKUP(A68,GM_Table,13,FALSE))),"")</f>
        <v/>
      </c>
      <c r="T68" s="203">
        <v>620.84234703448271</v>
      </c>
      <c r="U68" s="203">
        <v>0</v>
      </c>
      <c r="V68" s="204" t="s">
        <v>2597</v>
      </c>
      <c r="W68" s="203">
        <v>554.32352413793103</v>
      </c>
      <c r="X68" s="205">
        <v>-10.714285714285708</v>
      </c>
      <c r="Y68" s="204" t="s">
        <v>2597</v>
      </c>
      <c r="Z68" s="204" t="s">
        <v>2597</v>
      </c>
      <c r="AA68" s="204" t="s">
        <v>2597</v>
      </c>
      <c r="AB68" s="204" t="s">
        <v>2597</v>
      </c>
      <c r="AC68" s="204" t="s">
        <v>2597</v>
      </c>
    </row>
    <row r="69" spans="1:29" ht="15">
      <c r="A69" s="182" t="s">
        <v>950</v>
      </c>
      <c r="B69" s="182" t="s">
        <v>1830</v>
      </c>
      <c r="C69" s="182"/>
      <c r="D69" s="183">
        <v>3.2368000000000001</v>
      </c>
      <c r="E69" s="183">
        <v>1568.9814529185319</v>
      </c>
      <c r="F69" s="183">
        <v>1811.9305650568299</v>
      </c>
      <c r="G69" s="184">
        <v>0</v>
      </c>
      <c r="H69" s="184">
        <v>0</v>
      </c>
      <c r="I69" s="184">
        <v>0</v>
      </c>
      <c r="J69" s="177" t="b">
        <f>IF(ISBLANK(CertifiedCrop[[#This Row],[1. Identifiant interne d’exploitation agricole*]]),"",IF(ISERROR(MATCH(CertifiedCrop[[#This Row],[1. Identifiant interne d’exploitation agricole*]],GroupMember[1. Identifiant interne d’exploitation agricole*],0)),FALSE,TRUE))</f>
        <v>1</v>
      </c>
      <c r="K69" s="177" t="b">
        <f t="array" ref="K69">IF(ISBLANK(CertifiedCrop[[#This Row],[2. Produit agricole certifié*]]),"",IF(ISERROR(MATCH(1,(#REF!=CertifiedCrop[[#This Row],[2. Produit agricole certifié*]])*(#REF!=CertifiedCrop[[#This Row],[3. Variété**]]),0)),FALSE,TRUE))</f>
        <v>0</v>
      </c>
      <c r="L69" s="185" t="str">
        <f t="shared" si="5"/>
        <v/>
      </c>
      <c r="M69" s="186" t="str">
        <f t="shared" si="6"/>
        <v/>
      </c>
      <c r="N69" s="187" t="str">
        <f t="shared" si="7"/>
        <v/>
      </c>
      <c r="O69" s="188">
        <f t="shared" si="8"/>
        <v>484.73228278501352</v>
      </c>
      <c r="P69" s="188">
        <f t="shared" si="9"/>
        <v>559.79070843327668</v>
      </c>
      <c r="Q69" s="178" t="str">
        <f>IFERROR((VLOOKUP(A69,GM_Table,8,FALSE)-SUMIFS(D:D,A:A,A69,B:B,B69,C:C,C69)),"")</f>
        <v/>
      </c>
      <c r="R69" s="178" t="str">
        <f>IFERROR(CONCATENATE(VLOOKUP(A69,GM_Table,12,FALSE)," ",(VLOOKUP(A69,GM_Table,13,FALSE))),"")</f>
        <v/>
      </c>
      <c r="T69" s="203">
        <v>621.58013008429123</v>
      </c>
      <c r="U69" s="203">
        <v>0</v>
      </c>
      <c r="V69" s="204" t="s">
        <v>2597</v>
      </c>
      <c r="W69" s="203">
        <v>554.98225900383147</v>
      </c>
      <c r="X69" s="205">
        <v>-10.714285714285712</v>
      </c>
      <c r="Y69" s="204" t="s">
        <v>2597</v>
      </c>
      <c r="Z69" s="204" t="s">
        <v>2597</v>
      </c>
      <c r="AA69" s="204" t="s">
        <v>2597</v>
      </c>
      <c r="AB69" s="204" t="s">
        <v>2597</v>
      </c>
      <c r="AC69" s="204" t="s">
        <v>2597</v>
      </c>
    </row>
    <row r="70" spans="1:29" ht="15">
      <c r="A70" s="182" t="s">
        <v>952</v>
      </c>
      <c r="B70" s="182" t="s">
        <v>1830</v>
      </c>
      <c r="C70" s="182"/>
      <c r="D70" s="183">
        <v>2.04</v>
      </c>
      <c r="E70" s="183">
        <v>989.43611681739662</v>
      </c>
      <c r="F70" s="183">
        <v>1266.1341464521072</v>
      </c>
      <c r="G70" s="184">
        <v>0</v>
      </c>
      <c r="H70" s="184">
        <v>0</v>
      </c>
      <c r="I70" s="184">
        <v>0</v>
      </c>
      <c r="J70" s="177" t="b">
        <f>IF(ISBLANK(CertifiedCrop[[#This Row],[1. Identifiant interne d’exploitation agricole*]]),"",IF(ISERROR(MATCH(CertifiedCrop[[#This Row],[1. Identifiant interne d’exploitation agricole*]],GroupMember[1. Identifiant interne d’exploitation agricole*],0)),FALSE,TRUE))</f>
        <v>1</v>
      </c>
      <c r="K70" s="177" t="b">
        <f t="array" ref="K70">IF(ISBLANK(CertifiedCrop[[#This Row],[2. Produit agricole certifié*]]),"",IF(ISERROR(MATCH(1,(#REF!=CertifiedCrop[[#This Row],[2. Produit agricole certifié*]])*(#REF!=CertifiedCrop[[#This Row],[3. Variété**]]),0)),FALSE,TRUE))</f>
        <v>0</v>
      </c>
      <c r="L70" s="185" t="str">
        <f t="shared" si="5"/>
        <v/>
      </c>
      <c r="M70" s="186" t="str">
        <f t="shared" si="6"/>
        <v/>
      </c>
      <c r="N70" s="187" t="str">
        <f t="shared" si="7"/>
        <v/>
      </c>
      <c r="O70" s="188">
        <f t="shared" si="8"/>
        <v>485.01770432225322</v>
      </c>
      <c r="P70" s="188">
        <f t="shared" si="9"/>
        <v>620.65399335887605</v>
      </c>
      <c r="Q70" s="178" t="str">
        <f>IFERROR((VLOOKUP(A70,GM_Table,8,FALSE)-SUMIFS(D:D,A:A,A70,B:B,B70,C:C,C70)),"")</f>
        <v/>
      </c>
      <c r="R70" s="178" t="str">
        <f>IFERROR(CONCATENATE(VLOOKUP(A70,GM_Table,12,FALSE)," ",(VLOOKUP(A70,GM_Table,13,FALSE))),"")</f>
        <v/>
      </c>
      <c r="T70" s="203">
        <v>620.65399335887605</v>
      </c>
      <c r="U70" s="203">
        <v>0</v>
      </c>
      <c r="V70" s="204" t="s">
        <v>2597</v>
      </c>
      <c r="W70" s="203">
        <v>554.15535121328219</v>
      </c>
      <c r="X70" s="205">
        <v>-10.714285714285714</v>
      </c>
      <c r="Y70" s="204" t="s">
        <v>2597</v>
      </c>
      <c r="Z70" s="204" t="s">
        <v>2597</v>
      </c>
      <c r="AA70" s="204" t="s">
        <v>2597</v>
      </c>
      <c r="AB70" s="204" t="s">
        <v>2597</v>
      </c>
      <c r="AC70" s="204" t="s">
        <v>2597</v>
      </c>
    </row>
    <row r="71" spans="1:29" ht="15">
      <c r="A71" s="182" t="s">
        <v>957</v>
      </c>
      <c r="B71" s="182" t="s">
        <v>1830</v>
      </c>
      <c r="C71" s="182"/>
      <c r="D71" s="183">
        <v>2.0015000000000001</v>
      </c>
      <c r="E71" s="183">
        <v>971.00233306865186</v>
      </c>
      <c r="F71" s="183">
        <v>1242.1793370157345</v>
      </c>
      <c r="G71" s="184">
        <v>0</v>
      </c>
      <c r="H71" s="184">
        <v>0</v>
      </c>
      <c r="I71" s="184">
        <v>0</v>
      </c>
      <c r="J71" s="177" t="b">
        <f>IF(ISBLANK(CertifiedCrop[[#This Row],[1. Identifiant interne d’exploitation agricole*]]),"",IF(ISERROR(MATCH(CertifiedCrop[[#This Row],[1. Identifiant interne d’exploitation agricole*]],GroupMember[1. Identifiant interne d’exploitation agricole*],0)),FALSE,TRUE))</f>
        <v>1</v>
      </c>
      <c r="K71" s="177" t="b">
        <f t="array" ref="K71">IF(ISBLANK(CertifiedCrop[[#This Row],[2. Produit agricole certifié*]]),"",IF(ISERROR(MATCH(1,(#REF!=CertifiedCrop[[#This Row],[2. Produit agricole certifié*]])*(#REF!=CertifiedCrop[[#This Row],[3. Variété**]]),0)),FALSE,TRUE))</f>
        <v>0</v>
      </c>
      <c r="L71" s="185" t="str">
        <f t="shared" si="5"/>
        <v/>
      </c>
      <c r="M71" s="186" t="str">
        <f t="shared" si="6"/>
        <v/>
      </c>
      <c r="N71" s="187" t="str">
        <f t="shared" si="7"/>
        <v/>
      </c>
      <c r="O71" s="188">
        <f t="shared" si="8"/>
        <v>485.13731354916405</v>
      </c>
      <c r="P71" s="188">
        <f t="shared" si="9"/>
        <v>620.62420035759908</v>
      </c>
      <c r="Q71" s="178" t="str">
        <f>IFERROR((VLOOKUP(A71,GM_Table,8,FALSE)-SUMIFS(D:D,A:A,A71,B:B,B71,C:C,C71)),"")</f>
        <v/>
      </c>
      <c r="R71" s="178" t="str">
        <f>IFERROR(CONCATENATE(VLOOKUP(A71,GM_Table,12,FALSE)," ",(VLOOKUP(A71,GM_Table,13,FALSE))),"")</f>
        <v/>
      </c>
      <c r="T71" s="203">
        <v>620.62420035759908</v>
      </c>
      <c r="U71" s="203">
        <v>0</v>
      </c>
      <c r="V71" s="204" t="s">
        <v>2597</v>
      </c>
      <c r="W71" s="203">
        <v>554.1287503192849</v>
      </c>
      <c r="X71" s="205">
        <v>-10.714285714285712</v>
      </c>
      <c r="Y71" s="204" t="s">
        <v>2597</v>
      </c>
      <c r="Z71" s="204" t="s">
        <v>2597</v>
      </c>
      <c r="AA71" s="204" t="s">
        <v>2597</v>
      </c>
      <c r="AB71" s="204" t="s">
        <v>2597</v>
      </c>
      <c r="AC71" s="204" t="s">
        <v>2597</v>
      </c>
    </row>
    <row r="72" spans="1:29" ht="15">
      <c r="A72" s="182" t="s">
        <v>961</v>
      </c>
      <c r="B72" s="182" t="s">
        <v>1830</v>
      </c>
      <c r="C72" s="182"/>
      <c r="D72" s="183">
        <v>1.9024000000000001</v>
      </c>
      <c r="E72" s="183">
        <v>924.14484356615776</v>
      </c>
      <c r="F72" s="183">
        <v>1180.5295875868442</v>
      </c>
      <c r="G72" s="184">
        <v>0</v>
      </c>
      <c r="H72" s="184">
        <v>0</v>
      </c>
      <c r="I72" s="184">
        <v>0</v>
      </c>
      <c r="J72" s="177" t="b">
        <f>IF(ISBLANK(CertifiedCrop[[#This Row],[1. Identifiant interne d’exploitation agricole*]]),"",IF(ISERROR(MATCH(CertifiedCrop[[#This Row],[1. Identifiant interne d’exploitation agricole*]],GroupMember[1. Identifiant interne d’exploitation agricole*],0)),FALSE,TRUE))</f>
        <v>1</v>
      </c>
      <c r="K72" s="177" t="b">
        <f t="array" ref="K72">IF(ISBLANK(CertifiedCrop[[#This Row],[2. Produit agricole certifié*]]),"",IF(ISERROR(MATCH(1,(#REF!=CertifiedCrop[[#This Row],[2. Produit agricole certifié*]])*(#REF!=CertifiedCrop[[#This Row],[3. Variété**]]),0)),FALSE,TRUE))</f>
        <v>0</v>
      </c>
      <c r="L72" s="185" t="str">
        <f t="shared" si="5"/>
        <v/>
      </c>
      <c r="M72" s="186" t="str">
        <f t="shared" si="6"/>
        <v/>
      </c>
      <c r="N72" s="187" t="str">
        <f t="shared" si="7"/>
        <v/>
      </c>
      <c r="O72" s="188">
        <f t="shared" si="8"/>
        <v>485.77840809827467</v>
      </c>
      <c r="P72" s="188">
        <f t="shared" si="9"/>
        <v>620.54751239846723</v>
      </c>
      <c r="Q72" s="178" t="str">
        <f>IFERROR((VLOOKUP(A72,GM_Table,8,FALSE)-SUMIFS(D:D,A:A,A72,B:B,B72,C:C,C72)),"")</f>
        <v/>
      </c>
      <c r="R72" s="178" t="str">
        <f>IFERROR(CONCATENATE(VLOOKUP(A72,GM_Table,12,FALSE)," ",(VLOOKUP(A72,GM_Table,13,FALSE))),"")</f>
        <v/>
      </c>
      <c r="T72" s="203">
        <v>620.54751239846723</v>
      </c>
      <c r="U72" s="203">
        <v>0</v>
      </c>
      <c r="V72" s="204" t="s">
        <v>2597</v>
      </c>
      <c r="W72" s="203">
        <v>554.06027892720294</v>
      </c>
      <c r="X72" s="205">
        <v>-10.714285714285705</v>
      </c>
      <c r="Y72" s="204" t="s">
        <v>2597</v>
      </c>
      <c r="Z72" s="204" t="s">
        <v>2597</v>
      </c>
      <c r="AA72" s="204" t="s">
        <v>2597</v>
      </c>
      <c r="AB72" s="204" t="s">
        <v>2597</v>
      </c>
      <c r="AC72" s="204" t="s">
        <v>2597</v>
      </c>
    </row>
    <row r="73" spans="1:29" ht="15">
      <c r="A73" s="182" t="s">
        <v>966</v>
      </c>
      <c r="B73" s="182" t="s">
        <v>1830</v>
      </c>
      <c r="C73" s="182"/>
      <c r="D73" s="183">
        <v>2.7953999999999999</v>
      </c>
      <c r="E73" s="183">
        <v>1308.42927533017</v>
      </c>
      <c r="F73" s="183">
        <v>1706.6102573717301</v>
      </c>
      <c r="G73" s="184">
        <v>0</v>
      </c>
      <c r="H73" s="184">
        <v>0</v>
      </c>
      <c r="I73" s="184">
        <v>0</v>
      </c>
      <c r="J73" s="177" t="b">
        <f>IF(ISBLANK(CertifiedCrop[[#This Row],[1. Identifiant interne d’exploitation agricole*]]),"",IF(ISERROR(MATCH(CertifiedCrop[[#This Row],[1. Identifiant interne d’exploitation agricole*]],GroupMember[1. Identifiant interne d’exploitation agricole*],0)),FALSE,TRUE))</f>
        <v>1</v>
      </c>
      <c r="K73" s="177" t="b">
        <f t="array" ref="K73">IF(ISBLANK(CertifiedCrop[[#This Row],[2. Produit agricole certifié*]]),"",IF(ISERROR(MATCH(1,(#REF!=CertifiedCrop[[#This Row],[2. Produit agricole certifié*]])*(#REF!=CertifiedCrop[[#This Row],[3. Variété**]]),0)),FALSE,TRUE))</f>
        <v>0</v>
      </c>
      <c r="L73" s="185" t="str">
        <f t="shared" si="5"/>
        <v/>
      </c>
      <c r="M73" s="186" t="str">
        <f t="shared" si="6"/>
        <v/>
      </c>
      <c r="N73" s="187" t="str">
        <f t="shared" si="7"/>
        <v/>
      </c>
      <c r="O73" s="188">
        <f t="shared" si="8"/>
        <v>468.06513390934037</v>
      </c>
      <c r="P73" s="188">
        <f t="shared" si="9"/>
        <v>610.50663853893184</v>
      </c>
      <c r="Q73" s="178" t="str">
        <f>IFERROR((VLOOKUP(A73,GM_Table,8,FALSE)-SUMIFS(D:D,A:A,A73,B:B,B73,C:C,C73)),"")</f>
        <v/>
      </c>
      <c r="R73" s="178" t="str">
        <f>IFERROR(CONCATENATE(VLOOKUP(A73,GM_Table,12,FALSE)," ",(VLOOKUP(A73,GM_Table,13,FALSE))),"")</f>
        <v/>
      </c>
      <c r="T73" s="203">
        <v>621.2385552592591</v>
      </c>
      <c r="U73" s="203">
        <v>0</v>
      </c>
      <c r="V73" s="204" t="s">
        <v>2597</v>
      </c>
      <c r="W73" s="203">
        <v>554.67728148148137</v>
      </c>
      <c r="X73" s="205">
        <v>-10.71428571428571</v>
      </c>
      <c r="Y73" s="204" t="s">
        <v>2597</v>
      </c>
      <c r="Z73" s="204" t="s">
        <v>2597</v>
      </c>
      <c r="AA73" s="204" t="s">
        <v>2597</v>
      </c>
      <c r="AB73" s="204" t="s">
        <v>2597</v>
      </c>
      <c r="AC73" s="204" t="s">
        <v>2597</v>
      </c>
    </row>
    <row r="74" spans="1:29" ht="15">
      <c r="A74" s="182" t="s">
        <v>969</v>
      </c>
      <c r="B74" s="182" t="s">
        <v>1830</v>
      </c>
      <c r="C74" s="182"/>
      <c r="D74" s="183">
        <v>8.0473999999999997</v>
      </c>
      <c r="E74" s="183">
        <v>3921.2082512475758</v>
      </c>
      <c r="F74" s="183">
        <v>4832.0616315259504</v>
      </c>
      <c r="G74" s="184">
        <v>0</v>
      </c>
      <c r="H74" s="184">
        <v>0</v>
      </c>
      <c r="I74" s="184">
        <v>0</v>
      </c>
      <c r="J74" s="177" t="b">
        <f>IF(ISBLANK(CertifiedCrop[[#This Row],[1. Identifiant interne d’exploitation agricole*]]),"",IF(ISERROR(MATCH(CertifiedCrop[[#This Row],[1. Identifiant interne d’exploitation agricole*]],GroupMember[1. Identifiant interne d’exploitation agricole*],0)),FALSE,TRUE))</f>
        <v>1</v>
      </c>
      <c r="K74" s="177" t="b">
        <f t="array" ref="K74">IF(ISBLANK(CertifiedCrop[[#This Row],[2. Produit agricole certifié*]]),"",IF(ISERROR(MATCH(1,(#REF!=CertifiedCrop[[#This Row],[2. Produit agricole certifié*]])*(#REF!=CertifiedCrop[[#This Row],[3. Variété**]]),0)),FALSE,TRUE))</f>
        <v>0</v>
      </c>
      <c r="L74" s="185" t="str">
        <f t="shared" si="5"/>
        <v/>
      </c>
      <c r="M74" s="186" t="str">
        <f t="shared" si="6"/>
        <v/>
      </c>
      <c r="N74" s="187" t="str">
        <f t="shared" si="7"/>
        <v/>
      </c>
      <c r="O74" s="188">
        <f t="shared" si="8"/>
        <v>487.26399225185475</v>
      </c>
      <c r="P74" s="188">
        <f t="shared" si="9"/>
        <v>600.45003746874147</v>
      </c>
      <c r="Q74" s="178" t="str">
        <f>IFERROR((VLOOKUP(A74,GM_Table,8,FALSE)-SUMIFS(D:D,A:A,A74,B:B,B74,C:C,C74)),"")</f>
        <v/>
      </c>
      <c r="R74" s="178" t="str">
        <f>IFERROR(CONCATENATE(VLOOKUP(A74,GM_Table,12,FALSE)," ",(VLOOKUP(A74,GM_Table,13,FALSE))),"")</f>
        <v/>
      </c>
      <c r="T74" s="203">
        <v>625.30278493997457</v>
      </c>
      <c r="U74" s="203">
        <v>0</v>
      </c>
      <c r="V74" s="204" t="s">
        <v>2597</v>
      </c>
      <c r="W74" s="203">
        <v>558.30605798212014</v>
      </c>
      <c r="X74" s="205">
        <v>-10.714285714285717</v>
      </c>
      <c r="Y74" s="204" t="s">
        <v>2597</v>
      </c>
      <c r="Z74" s="204" t="s">
        <v>2597</v>
      </c>
      <c r="AA74" s="204" t="s">
        <v>2597</v>
      </c>
      <c r="AB74" s="204" t="s">
        <v>2597</v>
      </c>
      <c r="AC74" s="204" t="s">
        <v>2597</v>
      </c>
    </row>
    <row r="75" spans="1:29" ht="15">
      <c r="A75" s="182" t="s">
        <v>975</v>
      </c>
      <c r="B75" s="182" t="s">
        <v>1830</v>
      </c>
      <c r="C75" s="182"/>
      <c r="D75" s="183">
        <v>3.0466000000000002</v>
      </c>
      <c r="E75" s="183">
        <v>1485.0085249756567</v>
      </c>
      <c r="F75" s="183">
        <v>1693.2576099918699</v>
      </c>
      <c r="G75" s="184">
        <v>0</v>
      </c>
      <c r="H75" s="184">
        <v>0</v>
      </c>
      <c r="I75" s="184">
        <v>0</v>
      </c>
      <c r="J75" s="177" t="b">
        <f>IF(ISBLANK(CertifiedCrop[[#This Row],[1. Identifiant interne d’exploitation agricole*]]),"",IF(ISERROR(MATCH(CertifiedCrop[[#This Row],[1. Identifiant interne d’exploitation agricole*]],GroupMember[1. Identifiant interne d’exploitation agricole*],0)),FALSE,TRUE))</f>
        <v>1</v>
      </c>
      <c r="K75" s="177" t="b">
        <f t="array" ref="K75">IF(ISBLANK(CertifiedCrop[[#This Row],[2. Produit agricole certifié*]]),"",IF(ISERROR(MATCH(1,(#REF!=CertifiedCrop[[#This Row],[2. Produit agricole certifié*]])*(#REF!=CertifiedCrop[[#This Row],[3. Variété**]]),0)),FALSE,TRUE))</f>
        <v>0</v>
      </c>
      <c r="L75" s="185" t="str">
        <f t="shared" si="5"/>
        <v/>
      </c>
      <c r="M75" s="186" t="str">
        <f t="shared" si="6"/>
        <v/>
      </c>
      <c r="N75" s="187" t="str">
        <f t="shared" si="7"/>
        <v/>
      </c>
      <c r="O75" s="188">
        <f t="shared" si="8"/>
        <v>487.43140713439789</v>
      </c>
      <c r="P75" s="188">
        <f t="shared" si="9"/>
        <v>555.78599422039974</v>
      </c>
      <c r="Q75" s="178" t="str">
        <f>IFERROR((VLOOKUP(A75,GM_Table,8,FALSE)-SUMIFS(D:D,A:A,A75,B:B,B75,C:C,C75)),"")</f>
        <v/>
      </c>
      <c r="R75" s="178" t="str">
        <f>IFERROR(CONCATENATE(VLOOKUP(A75,GM_Table,12,FALSE)," ",(VLOOKUP(A75,GM_Table,13,FALSE))),"")</f>
        <v/>
      </c>
      <c r="T75" s="203">
        <v>621.43294491954032</v>
      </c>
      <c r="U75" s="203">
        <v>0</v>
      </c>
      <c r="V75" s="204" t="s">
        <v>2597</v>
      </c>
      <c r="W75" s="203">
        <v>554.85084367816103</v>
      </c>
      <c r="X75" s="205">
        <v>-10.71428571428571</v>
      </c>
      <c r="Y75" s="204" t="s">
        <v>2597</v>
      </c>
      <c r="Z75" s="204" t="s">
        <v>2597</v>
      </c>
      <c r="AA75" s="204" t="s">
        <v>2597</v>
      </c>
      <c r="AB75" s="204" t="s">
        <v>2597</v>
      </c>
      <c r="AC75" s="204" t="s">
        <v>2597</v>
      </c>
    </row>
    <row r="76" spans="1:29" ht="15">
      <c r="A76" s="182" t="s">
        <v>979</v>
      </c>
      <c r="B76" s="182" t="s">
        <v>1830</v>
      </c>
      <c r="C76" s="182"/>
      <c r="D76" s="183">
        <v>2.2574000000000001</v>
      </c>
      <c r="E76" s="183">
        <v>1100.8400711896365</v>
      </c>
      <c r="F76" s="183">
        <v>1401.4440954229619</v>
      </c>
      <c r="G76" s="184">
        <v>0</v>
      </c>
      <c r="H76" s="184">
        <v>0</v>
      </c>
      <c r="I76" s="184">
        <v>0</v>
      </c>
      <c r="J76" s="177" t="b">
        <f>IF(ISBLANK(CertifiedCrop[[#This Row],[1. Identifiant interne d’exploitation agricole*]]),"",IF(ISERROR(MATCH(CertifiedCrop[[#This Row],[1. Identifiant interne d’exploitation agricole*]],GroupMember[1. Identifiant interne d’exploitation agricole*],0)),FALSE,TRUE))</f>
        <v>1</v>
      </c>
      <c r="K76" s="177" t="b">
        <f t="array" ref="K76">IF(ISBLANK(CertifiedCrop[[#This Row],[2. Produit agricole certifié*]]),"",IF(ISERROR(MATCH(1,(#REF!=CertifiedCrop[[#This Row],[2. Produit agricole certifié*]])*(#REF!=CertifiedCrop[[#This Row],[3. Variété**]]),0)),FALSE,TRUE))</f>
        <v>0</v>
      </c>
      <c r="L76" s="185" t="str">
        <f t="shared" si="5"/>
        <v/>
      </c>
      <c r="M76" s="186" t="str">
        <f t="shared" si="6"/>
        <v/>
      </c>
      <c r="N76" s="187" t="str">
        <f t="shared" si="7"/>
        <v/>
      </c>
      <c r="O76" s="188">
        <f t="shared" si="8"/>
        <v>487.65839957014111</v>
      </c>
      <c r="P76" s="188">
        <f t="shared" si="9"/>
        <v>620.82222708556833</v>
      </c>
      <c r="Q76" s="178" t="str">
        <f>IFERROR((VLOOKUP(A76,GM_Table,8,FALSE)-SUMIFS(D:D,A:A,A76,B:B,B76,C:C,C76)),"")</f>
        <v/>
      </c>
      <c r="R76" s="178" t="str">
        <f>IFERROR(CONCATENATE(VLOOKUP(A76,GM_Table,12,FALSE)," ",(VLOOKUP(A76,GM_Table,13,FALSE))),"")</f>
        <v/>
      </c>
      <c r="T76" s="203">
        <v>620.82222708556833</v>
      </c>
      <c r="U76" s="203">
        <v>0</v>
      </c>
      <c r="V76" s="204" t="s">
        <v>2597</v>
      </c>
      <c r="W76" s="203">
        <v>554.30555989782886</v>
      </c>
      <c r="X76" s="205">
        <v>-10.714285714285715</v>
      </c>
      <c r="Y76" s="204" t="s">
        <v>2597</v>
      </c>
      <c r="Z76" s="204" t="s">
        <v>2597</v>
      </c>
      <c r="AA76" s="204" t="s">
        <v>2597</v>
      </c>
      <c r="AB76" s="204" t="s">
        <v>2597</v>
      </c>
      <c r="AC76" s="204" t="s">
        <v>2597</v>
      </c>
    </row>
    <row r="77" spans="1:29" ht="15">
      <c r="A77" s="182" t="s">
        <v>982</v>
      </c>
      <c r="B77" s="182" t="s">
        <v>1830</v>
      </c>
      <c r="C77" s="182"/>
      <c r="D77" s="183">
        <v>2.3408000000000002</v>
      </c>
      <c r="E77" s="183">
        <v>1141.8624262760427</v>
      </c>
      <c r="F77" s="183">
        <v>1453.3717411293344</v>
      </c>
      <c r="G77" s="184">
        <v>0</v>
      </c>
      <c r="H77" s="184">
        <v>0</v>
      </c>
      <c r="I77" s="184">
        <v>0</v>
      </c>
      <c r="J77" s="177" t="b">
        <f>IF(ISBLANK(CertifiedCrop[[#This Row],[1. Identifiant interne d’exploitation agricole*]]),"",IF(ISERROR(MATCH(CertifiedCrop[[#This Row],[1. Identifiant interne d’exploitation agricole*]],GroupMember[1. Identifiant interne d’exploitation agricole*],0)),FALSE,TRUE))</f>
        <v>1</v>
      </c>
      <c r="K77" s="177" t="b">
        <f t="array" ref="K77">IF(ISBLANK(CertifiedCrop[[#This Row],[2. Produit agricole certifié*]]),"",IF(ISERROR(MATCH(1,(#REF!=CertifiedCrop[[#This Row],[2. Produit agricole certifié*]])*(#REF!=CertifiedCrop[[#This Row],[3. Variété**]]),0)),FALSE,TRUE))</f>
        <v>0</v>
      </c>
      <c r="L77" s="185" t="str">
        <f t="shared" si="5"/>
        <v/>
      </c>
      <c r="M77" s="186" t="str">
        <f t="shared" si="6"/>
        <v/>
      </c>
      <c r="N77" s="187" t="str">
        <f t="shared" si="7"/>
        <v/>
      </c>
      <c r="O77" s="188">
        <f t="shared" si="8"/>
        <v>487.80862366543175</v>
      </c>
      <c r="P77" s="188">
        <f t="shared" si="9"/>
        <v>620.88676569093229</v>
      </c>
      <c r="Q77" s="178" t="str">
        <f>IFERROR((VLOOKUP(A77,GM_Table,8,FALSE)-SUMIFS(D:D,A:A,A77,B:B,B77,C:C,C77)),"")</f>
        <v/>
      </c>
      <c r="R77" s="178" t="str">
        <f>IFERROR(CONCATENATE(VLOOKUP(A77,GM_Table,12,FALSE)," ",(VLOOKUP(A77,GM_Table,13,FALSE))),"")</f>
        <v/>
      </c>
      <c r="T77" s="203">
        <v>620.88676569093229</v>
      </c>
      <c r="U77" s="203">
        <v>0</v>
      </c>
      <c r="V77" s="204" t="s">
        <v>2597</v>
      </c>
      <c r="W77" s="203">
        <v>554.36318365261809</v>
      </c>
      <c r="X77" s="205">
        <v>-10.714285714285719</v>
      </c>
      <c r="Y77" s="204" t="s">
        <v>2597</v>
      </c>
      <c r="Z77" s="204" t="s">
        <v>2597</v>
      </c>
      <c r="AA77" s="204" t="s">
        <v>2597</v>
      </c>
      <c r="AB77" s="204" t="s">
        <v>2597</v>
      </c>
      <c r="AC77" s="204" t="s">
        <v>2597</v>
      </c>
    </row>
    <row r="78" spans="1:29" ht="15">
      <c r="A78" s="182" t="s">
        <v>985</v>
      </c>
      <c r="B78" s="182" t="s">
        <v>1830</v>
      </c>
      <c r="C78" s="182"/>
      <c r="D78" s="183">
        <v>5.0862999999999996</v>
      </c>
      <c r="E78" s="183">
        <v>2482.4552967541181</v>
      </c>
      <c r="F78" s="183">
        <v>2968.82265448828</v>
      </c>
      <c r="G78" s="184">
        <v>0</v>
      </c>
      <c r="H78" s="184">
        <v>0</v>
      </c>
      <c r="I78" s="184">
        <v>0</v>
      </c>
      <c r="J78" s="177" t="b">
        <f>IF(ISBLANK(CertifiedCrop[[#This Row],[1. Identifiant interne d’exploitation agricole*]]),"",IF(ISERROR(MATCH(CertifiedCrop[[#This Row],[1. Identifiant interne d’exploitation agricole*]],GroupMember[1. Identifiant interne d’exploitation agricole*],0)),FALSE,TRUE))</f>
        <v>1</v>
      </c>
      <c r="K78" s="177" t="b">
        <f t="array" ref="K78">IF(ISBLANK(CertifiedCrop[[#This Row],[2. Produit agricole certifié*]]),"",IF(ISERROR(MATCH(1,(#REF!=CertifiedCrop[[#This Row],[2. Produit agricole certifié*]])*(#REF!=CertifiedCrop[[#This Row],[3. Variété**]]),0)),FALSE,TRUE))</f>
        <v>0</v>
      </c>
      <c r="L78" s="185" t="str">
        <f t="shared" si="5"/>
        <v/>
      </c>
      <c r="M78" s="186" t="str">
        <f t="shared" si="6"/>
        <v/>
      </c>
      <c r="N78" s="187" t="str">
        <f t="shared" si="7"/>
        <v/>
      </c>
      <c r="O78" s="188">
        <f t="shared" si="8"/>
        <v>488.06702254175298</v>
      </c>
      <c r="P78" s="188">
        <f t="shared" si="9"/>
        <v>583.69004079355921</v>
      </c>
      <c r="Q78" s="178" t="str">
        <f>IFERROR((VLOOKUP(A78,GM_Table,8,FALSE)-SUMIFS(D:D,A:A,A78,B:B,B78,C:C,C78)),"")</f>
        <v/>
      </c>
      <c r="R78" s="178" t="str">
        <f>IFERROR(CONCATENATE(VLOOKUP(A78,GM_Table,12,FALSE)," ",(VLOOKUP(A78,GM_Table,13,FALSE))),"")</f>
        <v/>
      </c>
      <c r="T78" s="203">
        <v>623.01135491187756</v>
      </c>
      <c r="U78" s="203">
        <v>0</v>
      </c>
      <c r="V78" s="204" t="s">
        <v>2597</v>
      </c>
      <c r="W78" s="203">
        <v>556.2601383141764</v>
      </c>
      <c r="X78" s="205">
        <v>-10.714285714285712</v>
      </c>
      <c r="Y78" s="204" t="s">
        <v>2597</v>
      </c>
      <c r="Z78" s="204" t="s">
        <v>2597</v>
      </c>
      <c r="AA78" s="204" t="s">
        <v>2597</v>
      </c>
      <c r="AB78" s="204" t="s">
        <v>2597</v>
      </c>
      <c r="AC78" s="204" t="s">
        <v>2597</v>
      </c>
    </row>
    <row r="79" spans="1:29" ht="15">
      <c r="A79" s="182" t="s">
        <v>989</v>
      </c>
      <c r="B79" s="182" t="s">
        <v>1830</v>
      </c>
      <c r="C79" s="182"/>
      <c r="D79" s="183">
        <v>3.6709000000000001</v>
      </c>
      <c r="E79" s="183">
        <v>1796.6801723359708</v>
      </c>
      <c r="F79" s="183">
        <v>2082.9916494078102</v>
      </c>
      <c r="G79" s="184">
        <v>0</v>
      </c>
      <c r="H79" s="184">
        <v>0</v>
      </c>
      <c r="I79" s="184">
        <v>0</v>
      </c>
      <c r="J79" s="177" t="b">
        <f>IF(ISBLANK(CertifiedCrop[[#This Row],[1. Identifiant interne d’exploitation agricole*]]),"",IF(ISERROR(MATCH(CertifiedCrop[[#This Row],[1. Identifiant interne d’exploitation agricole*]],GroupMember[1. Identifiant interne d’exploitation agricole*],0)),FALSE,TRUE))</f>
        <v>1</v>
      </c>
      <c r="K79" s="177" t="b">
        <f t="array" ref="K79">IF(ISBLANK(CertifiedCrop[[#This Row],[2. Produit agricole certifié*]]),"",IF(ISERROR(MATCH(1,(#REF!=CertifiedCrop[[#This Row],[2. Produit agricole certifié*]])*(#REF!=CertifiedCrop[[#This Row],[3. Variété**]]),0)),FALSE,TRUE))</f>
        <v>0</v>
      </c>
      <c r="L79" s="185" t="str">
        <f t="shared" si="5"/>
        <v/>
      </c>
      <c r="M79" s="186" t="str">
        <f t="shared" si="6"/>
        <v/>
      </c>
      <c r="N79" s="187" t="str">
        <f t="shared" si="7"/>
        <v/>
      </c>
      <c r="O79" s="188">
        <f t="shared" si="8"/>
        <v>489.43860424854142</v>
      </c>
      <c r="P79" s="188">
        <f t="shared" si="9"/>
        <v>567.43350388400938</v>
      </c>
      <c r="Q79" s="178" t="str">
        <f>IFERROR((VLOOKUP(A79,GM_Table,8,FALSE)-SUMIFS(D:D,A:A,A79,B:B,B79,C:C,C79)),"")</f>
        <v/>
      </c>
      <c r="R79" s="178" t="str">
        <f>IFERROR(CONCATENATE(VLOOKUP(A79,GM_Table,12,FALSE)," ",(VLOOKUP(A79,GM_Table,13,FALSE))),"")</f>
        <v/>
      </c>
      <c r="T79" s="203">
        <v>621.91605584674335</v>
      </c>
      <c r="U79" s="203">
        <v>0</v>
      </c>
      <c r="V79" s="204" t="s">
        <v>2597</v>
      </c>
      <c r="W79" s="203">
        <v>555.28219272030651</v>
      </c>
      <c r="X79" s="205">
        <v>-10.714285714285722</v>
      </c>
      <c r="Y79" s="204" t="s">
        <v>2597</v>
      </c>
      <c r="Z79" s="204" t="s">
        <v>2597</v>
      </c>
      <c r="AA79" s="204" t="s">
        <v>2597</v>
      </c>
      <c r="AB79" s="204" t="s">
        <v>2597</v>
      </c>
      <c r="AC79" s="204" t="s">
        <v>2597</v>
      </c>
    </row>
    <row r="80" spans="1:29" ht="15">
      <c r="A80" s="182" t="s">
        <v>970</v>
      </c>
      <c r="B80" s="182" t="s">
        <v>1830</v>
      </c>
      <c r="C80" s="182"/>
      <c r="D80" s="183">
        <v>1.8342000000000001</v>
      </c>
      <c r="E80" s="183">
        <v>899.58277205905392</v>
      </c>
      <c r="F80" s="183">
        <v>1138.1114451834851</v>
      </c>
      <c r="G80" s="184">
        <v>0</v>
      </c>
      <c r="H80" s="184">
        <v>0</v>
      </c>
      <c r="I80" s="184">
        <v>0</v>
      </c>
      <c r="J80" s="177" t="b">
        <f>IF(ISBLANK(CertifiedCrop[[#This Row],[1. Identifiant interne d’exploitation agricole*]]),"",IF(ISERROR(MATCH(CertifiedCrop[[#This Row],[1. Identifiant interne d’exploitation agricole*]],GroupMember[1. Identifiant interne d’exploitation agricole*],0)),FALSE,TRUE))</f>
        <v>1</v>
      </c>
      <c r="K80" s="177" t="b">
        <f t="array" ref="K80">IF(ISBLANK(CertifiedCrop[[#This Row],[2. Produit agricole certifié*]]),"",IF(ISERROR(MATCH(1,(#REF!=CertifiedCrop[[#This Row],[2. Produit agricole certifié*]])*(#REF!=CertifiedCrop[[#This Row],[3. Variété**]]),0)),FALSE,TRUE))</f>
        <v>0</v>
      </c>
      <c r="L80" s="185" t="str">
        <f t="shared" si="5"/>
        <v/>
      </c>
      <c r="M80" s="186" t="str">
        <f t="shared" si="6"/>
        <v/>
      </c>
      <c r="N80" s="187" t="str">
        <f t="shared" si="7"/>
        <v/>
      </c>
      <c r="O80" s="188">
        <f t="shared" si="8"/>
        <v>490.44966310056367</v>
      </c>
      <c r="P80" s="188">
        <f t="shared" si="9"/>
        <v>620.49473622477649</v>
      </c>
      <c r="Q80" s="178" t="str">
        <f>IFERROR((VLOOKUP(A80,GM_Table,8,FALSE)-SUMIFS(D:D,A:A,A80,B:B,B80,C:C,C80)),"")</f>
        <v/>
      </c>
      <c r="R80" s="178" t="str">
        <f>IFERROR(CONCATENATE(VLOOKUP(A80,GM_Table,12,FALSE)," ",(VLOOKUP(A80,GM_Table,13,FALSE))),"")</f>
        <v/>
      </c>
      <c r="T80" s="203">
        <v>620.49473622477649</v>
      </c>
      <c r="U80" s="203">
        <v>0</v>
      </c>
      <c r="V80" s="204" t="s">
        <v>2597</v>
      </c>
      <c r="W80" s="203">
        <v>554.01315734355046</v>
      </c>
      <c r="X80" s="205">
        <v>-10.714285714285712</v>
      </c>
      <c r="Y80" s="204" t="s">
        <v>2597</v>
      </c>
      <c r="Z80" s="204" t="s">
        <v>2597</v>
      </c>
      <c r="AA80" s="204" t="s">
        <v>2597</v>
      </c>
      <c r="AB80" s="204" t="s">
        <v>2597</v>
      </c>
      <c r="AC80" s="204" t="s">
        <v>2597</v>
      </c>
    </row>
    <row r="81" spans="1:29" ht="15">
      <c r="A81" s="182" t="s">
        <v>994</v>
      </c>
      <c r="B81" s="182" t="s">
        <v>1830</v>
      </c>
      <c r="C81" s="182"/>
      <c r="D81" s="183">
        <v>3.1499000000000001</v>
      </c>
      <c r="E81" s="183">
        <v>1549.1486418889449</v>
      </c>
      <c r="F81" s="183">
        <v>1757.7034302381301</v>
      </c>
      <c r="G81" s="184">
        <v>0</v>
      </c>
      <c r="H81" s="184">
        <v>0</v>
      </c>
      <c r="I81" s="184">
        <v>0</v>
      </c>
      <c r="J81" s="177" t="b">
        <f>IF(ISBLANK(CertifiedCrop[[#This Row],[1. Identifiant interne d’exploitation agricole*]]),"",IF(ISERROR(MATCH(CertifiedCrop[[#This Row],[1. Identifiant interne d’exploitation agricole*]],GroupMember[1. Identifiant interne d’exploitation agricole*],0)),FALSE,TRUE))</f>
        <v>1</v>
      </c>
      <c r="K81" s="177" t="b">
        <f t="array" ref="K81">IF(ISBLANK(CertifiedCrop[[#This Row],[2. Produit agricole certifié*]]),"",IF(ISERROR(MATCH(1,(#REF!=CertifiedCrop[[#This Row],[2. Produit agricole certifié*]])*(#REF!=CertifiedCrop[[#This Row],[3. Variété**]]),0)),FALSE,TRUE))</f>
        <v>0</v>
      </c>
      <c r="L81" s="185" t="str">
        <f t="shared" si="5"/>
        <v/>
      </c>
      <c r="M81" s="186" t="str">
        <f t="shared" si="6"/>
        <v/>
      </c>
      <c r="N81" s="187" t="str">
        <f t="shared" si="7"/>
        <v/>
      </c>
      <c r="O81" s="188">
        <f t="shared" si="8"/>
        <v>491.80883262609763</v>
      </c>
      <c r="P81" s="188">
        <f t="shared" si="9"/>
        <v>558.01880384714752</v>
      </c>
      <c r="Q81" s="178" t="str">
        <f>IFERROR((VLOOKUP(A81,GM_Table,8,FALSE)-SUMIFS(D:D,A:A,A81,B:B,B81,C:C,C81)),"")</f>
        <v/>
      </c>
      <c r="R81" s="178" t="str">
        <f>IFERROR(CONCATENATE(VLOOKUP(A81,GM_Table,12,FALSE)," ",(VLOOKUP(A81,GM_Table,13,FALSE))),"")</f>
        <v/>
      </c>
      <c r="T81" s="203">
        <v>621.51288302426565</v>
      </c>
      <c r="U81" s="203">
        <v>0</v>
      </c>
      <c r="V81" s="204" t="s">
        <v>2597</v>
      </c>
      <c r="W81" s="203">
        <v>554.92221698595142</v>
      </c>
      <c r="X81" s="205">
        <v>-10.714285714285722</v>
      </c>
      <c r="Y81" s="204" t="s">
        <v>2597</v>
      </c>
      <c r="Z81" s="204" t="s">
        <v>2597</v>
      </c>
      <c r="AA81" s="204" t="s">
        <v>2597</v>
      </c>
      <c r="AB81" s="204" t="s">
        <v>2597</v>
      </c>
      <c r="AC81" s="204" t="s">
        <v>2597</v>
      </c>
    </row>
    <row r="82" spans="1:29" ht="15">
      <c r="A82" s="182" t="s">
        <v>997</v>
      </c>
      <c r="B82" s="182" t="s">
        <v>1830</v>
      </c>
      <c r="C82" s="182"/>
      <c r="D82" s="183">
        <v>5.4744999999999999</v>
      </c>
      <c r="E82" s="183">
        <v>2693.5555660683203</v>
      </c>
      <c r="F82" s="183">
        <v>3012.3202368320299</v>
      </c>
      <c r="G82" s="184">
        <v>0</v>
      </c>
      <c r="H82" s="184">
        <v>0</v>
      </c>
      <c r="I82" s="184">
        <v>0</v>
      </c>
      <c r="J82" s="177" t="b">
        <f>IF(ISBLANK(CertifiedCrop[[#This Row],[1. Identifiant interne d’exploitation agricole*]]),"",IF(ISERROR(MATCH(CertifiedCrop[[#This Row],[1. Identifiant interne d’exploitation agricole*]],GroupMember[1. Identifiant interne d’exploitation agricole*],0)),FALSE,TRUE))</f>
        <v>1</v>
      </c>
      <c r="K82" s="177" t="b">
        <f t="array" ref="K82">IF(ISBLANK(CertifiedCrop[[#This Row],[2. Produit agricole certifié*]]),"",IF(ISERROR(MATCH(1,(#REF!=CertifiedCrop[[#This Row],[2. Produit agricole certifié*]])*(#REF!=CertifiedCrop[[#This Row],[3. Variété**]]),0)),FALSE,TRUE))</f>
        <v>0</v>
      </c>
      <c r="L82" s="185" t="str">
        <f t="shared" si="5"/>
        <v/>
      </c>
      <c r="M82" s="186" t="str">
        <f t="shared" si="6"/>
        <v/>
      </c>
      <c r="N82" s="187" t="str">
        <f t="shared" si="7"/>
        <v/>
      </c>
      <c r="O82" s="188">
        <f t="shared" si="8"/>
        <v>492.01855257435756</v>
      </c>
      <c r="P82" s="188">
        <f t="shared" si="9"/>
        <v>550.24572779834318</v>
      </c>
      <c r="Q82" s="178" t="str">
        <f>IFERROR((VLOOKUP(A82,GM_Table,8,FALSE)-SUMIFS(D:D,A:A,A82,B:B,B82,C:C,C82)),"")</f>
        <v/>
      </c>
      <c r="R82" s="178" t="str">
        <f>IFERROR(CONCATENATE(VLOOKUP(A82,GM_Table,12,FALSE)," ",(VLOOKUP(A82,GM_Table,13,FALSE))),"")</f>
        <v/>
      </c>
      <c r="T82" s="203">
        <v>623.3117612260537</v>
      </c>
      <c r="U82" s="203">
        <v>0</v>
      </c>
      <c r="V82" s="204" t="s">
        <v>2597</v>
      </c>
      <c r="W82" s="203">
        <v>556.52835823754799</v>
      </c>
      <c r="X82" s="205">
        <v>-10.714285714285708</v>
      </c>
      <c r="Y82" s="204" t="s">
        <v>2597</v>
      </c>
      <c r="Z82" s="204" t="s">
        <v>2597</v>
      </c>
      <c r="AA82" s="204" t="s">
        <v>2597</v>
      </c>
      <c r="AB82" s="204" t="s">
        <v>2597</v>
      </c>
      <c r="AC82" s="204" t="s">
        <v>2597</v>
      </c>
    </row>
    <row r="83" spans="1:29" ht="15">
      <c r="A83" s="182" t="s">
        <v>1000</v>
      </c>
      <c r="B83" s="182" t="s">
        <v>1830</v>
      </c>
      <c r="C83" s="182"/>
      <c r="D83" s="183">
        <v>0.94310000000000005</v>
      </c>
      <c r="E83" s="183">
        <v>464.6668168248745</v>
      </c>
      <c r="F83" s="183">
        <v>511.5570043890819</v>
      </c>
      <c r="G83" s="184">
        <v>0</v>
      </c>
      <c r="H83" s="184">
        <v>0</v>
      </c>
      <c r="I83" s="184">
        <v>0</v>
      </c>
      <c r="J83" s="177" t="b">
        <f>IF(ISBLANK(CertifiedCrop[[#This Row],[1. Identifiant interne d’exploitation agricole*]]),"",IF(ISERROR(MATCH(CertifiedCrop[[#This Row],[1. Identifiant interne d’exploitation agricole*]],GroupMember[1. Identifiant interne d’exploitation agricole*],0)),FALSE,TRUE))</f>
        <v>1</v>
      </c>
      <c r="K83" s="177" t="b">
        <f t="array" ref="K83">IF(ISBLANK(CertifiedCrop[[#This Row],[2. Produit agricole certifié*]]),"",IF(ISERROR(MATCH(1,(#REF!=CertifiedCrop[[#This Row],[2. Produit agricole certifié*]])*(#REF!=CertifiedCrop[[#This Row],[3. Variété**]]),0)),FALSE,TRUE))</f>
        <v>0</v>
      </c>
      <c r="L83" s="185" t="str">
        <f t="shared" si="5"/>
        <v/>
      </c>
      <c r="M83" s="186" t="str">
        <f t="shared" si="6"/>
        <v/>
      </c>
      <c r="N83" s="187" t="str">
        <f t="shared" si="7"/>
        <v/>
      </c>
      <c r="O83" s="188">
        <f t="shared" si="8"/>
        <v>492.70153411607942</v>
      </c>
      <c r="P83" s="188">
        <f t="shared" si="9"/>
        <v>542.42074476628341</v>
      </c>
      <c r="Q83" s="178" t="str">
        <f>IFERROR((VLOOKUP(A83,GM_Table,8,FALSE)-SUMIFS(D:D,A:A,A83,B:B,B83,C:C,C83)),"")</f>
        <v/>
      </c>
      <c r="R83" s="178" t="str">
        <f>IFERROR(CONCATENATE(VLOOKUP(A83,GM_Table,12,FALSE)," ",(VLOOKUP(A83,GM_Table,13,FALSE))),"")</f>
        <v/>
      </c>
      <c r="T83" s="203">
        <v>542.42074476628341</v>
      </c>
      <c r="U83" s="203">
        <v>0</v>
      </c>
      <c r="V83" s="204" t="s">
        <v>2597</v>
      </c>
      <c r="W83" s="203">
        <v>484.30423639846737</v>
      </c>
      <c r="X83" s="205">
        <v>-10.714285714285706</v>
      </c>
      <c r="Y83" s="204" t="s">
        <v>2597</v>
      </c>
      <c r="Z83" s="204" t="s">
        <v>2597</v>
      </c>
      <c r="AA83" s="204" t="s">
        <v>2597</v>
      </c>
      <c r="AB83" s="204" t="s">
        <v>2597</v>
      </c>
      <c r="AC83" s="204" t="s">
        <v>2597</v>
      </c>
    </row>
    <row r="84" spans="1:29" ht="15">
      <c r="A84" s="182" t="s">
        <v>1005</v>
      </c>
      <c r="B84" s="182" t="s">
        <v>1830</v>
      </c>
      <c r="C84" s="182"/>
      <c r="D84" s="183">
        <v>1.3478000000000001</v>
      </c>
      <c r="E84" s="183">
        <v>664.53859176689195</v>
      </c>
      <c r="F84" s="183">
        <v>835.79549651066759</v>
      </c>
      <c r="G84" s="184">
        <v>0</v>
      </c>
      <c r="H84" s="184">
        <v>0</v>
      </c>
      <c r="I84" s="184">
        <v>0</v>
      </c>
      <c r="J84" s="177" t="b">
        <f>IF(ISBLANK(CertifiedCrop[[#This Row],[1. Identifiant interne d’exploitation agricole*]]),"",IF(ISERROR(MATCH(CertifiedCrop[[#This Row],[1. Identifiant interne d’exploitation agricole*]],GroupMember[1. Identifiant interne d’exploitation agricole*],0)),FALSE,TRUE))</f>
        <v>1</v>
      </c>
      <c r="K84" s="177" t="b">
        <f t="array" ref="K84">IF(ISBLANK(CertifiedCrop[[#This Row],[2. Produit agricole certifié*]]),"",IF(ISERROR(MATCH(1,(#REF!=CertifiedCrop[[#This Row],[2. Produit agricole certifié*]])*(#REF!=CertifiedCrop[[#This Row],[3. Variété**]]),0)),FALSE,TRUE))</f>
        <v>0</v>
      </c>
      <c r="L84" s="185" t="str">
        <f t="shared" si="5"/>
        <v/>
      </c>
      <c r="M84" s="186" t="str">
        <f t="shared" si="6"/>
        <v/>
      </c>
      <c r="N84" s="187" t="str">
        <f t="shared" si="7"/>
        <v/>
      </c>
      <c r="O84" s="188">
        <f t="shared" si="8"/>
        <v>493.05430462004148</v>
      </c>
      <c r="P84" s="188">
        <f t="shared" si="9"/>
        <v>620.11833841123871</v>
      </c>
      <c r="Q84" s="178" t="str">
        <f>IFERROR((VLOOKUP(A84,GM_Table,8,FALSE)-SUMIFS(D:D,A:A,A84,B:B,B84,C:C,C84)),"")</f>
        <v/>
      </c>
      <c r="R84" s="178" t="str">
        <f>IFERROR(CONCATENATE(VLOOKUP(A84,GM_Table,12,FALSE)," ",(VLOOKUP(A84,GM_Table,13,FALSE))),"")</f>
        <v/>
      </c>
      <c r="T84" s="203">
        <v>620.11833841123871</v>
      </c>
      <c r="U84" s="203">
        <v>0</v>
      </c>
      <c r="V84" s="204" t="s">
        <v>2597</v>
      </c>
      <c r="W84" s="203">
        <v>553.67708786717742</v>
      </c>
      <c r="X84" s="205">
        <v>-10.714285714285714</v>
      </c>
      <c r="Y84" s="204" t="s">
        <v>2597</v>
      </c>
      <c r="Z84" s="204" t="s">
        <v>2597</v>
      </c>
      <c r="AA84" s="204" t="s">
        <v>2597</v>
      </c>
      <c r="AB84" s="204" t="s">
        <v>2597</v>
      </c>
      <c r="AC84" s="204" t="s">
        <v>2597</v>
      </c>
    </row>
    <row r="85" spans="1:29" ht="15">
      <c r="A85" s="182" t="s">
        <v>1008</v>
      </c>
      <c r="B85" s="182" t="s">
        <v>1830</v>
      </c>
      <c r="C85" s="182"/>
      <c r="D85" s="183">
        <v>0.66510000000000002</v>
      </c>
      <c r="E85" s="183">
        <v>328.0533222772882</v>
      </c>
      <c r="F85" s="183">
        <v>360.62095525596322</v>
      </c>
      <c r="G85" s="184">
        <v>0</v>
      </c>
      <c r="H85" s="184">
        <v>0</v>
      </c>
      <c r="I85" s="184">
        <v>0</v>
      </c>
      <c r="J85" s="177" t="b">
        <f>IF(ISBLANK(CertifiedCrop[[#This Row],[1. Identifiant interne d’exploitation agricole*]]),"",IF(ISERROR(MATCH(CertifiedCrop[[#This Row],[1. Identifiant interne d’exploitation agricole*]],GroupMember[1. Identifiant interne d’exploitation agricole*],0)),FALSE,TRUE))</f>
        <v>1</v>
      </c>
      <c r="K85" s="177" t="b">
        <f t="array" ref="K85">IF(ISBLANK(CertifiedCrop[[#This Row],[2. Produit agricole certifié*]]),"",IF(ISERROR(MATCH(1,(#REF!=CertifiedCrop[[#This Row],[2. Produit agricole certifié*]])*(#REF!=CertifiedCrop[[#This Row],[3. Variété**]]),0)),FALSE,TRUE))</f>
        <v>0</v>
      </c>
      <c r="L85" s="185" t="str">
        <f t="shared" si="5"/>
        <v/>
      </c>
      <c r="M85" s="186" t="str">
        <f t="shared" si="6"/>
        <v/>
      </c>
      <c r="N85" s="187" t="str">
        <f t="shared" si="7"/>
        <v/>
      </c>
      <c r="O85" s="188">
        <f t="shared" si="8"/>
        <v>493.23909528986349</v>
      </c>
      <c r="P85" s="188">
        <f t="shared" si="9"/>
        <v>542.20561608173693</v>
      </c>
      <c r="Q85" s="178" t="str">
        <f>IFERROR((VLOOKUP(A85,GM_Table,8,FALSE)-SUMIFS(D:D,A:A,A85,B:B,B85,C:C,C85)),"")</f>
        <v/>
      </c>
      <c r="R85" s="178" t="str">
        <f>IFERROR(CONCATENATE(VLOOKUP(A85,GM_Table,12,FALSE)," ",(VLOOKUP(A85,GM_Table,13,FALSE))),"")</f>
        <v/>
      </c>
      <c r="T85" s="203">
        <v>542.20561608173693</v>
      </c>
      <c r="U85" s="203">
        <v>0</v>
      </c>
      <c r="V85" s="204" t="s">
        <v>2597</v>
      </c>
      <c r="W85" s="203">
        <v>484.11215721583653</v>
      </c>
      <c r="X85" s="205">
        <v>-10.714285714285717</v>
      </c>
      <c r="Y85" s="204" t="s">
        <v>2597</v>
      </c>
      <c r="Z85" s="204" t="s">
        <v>2597</v>
      </c>
      <c r="AA85" s="204" t="s">
        <v>2597</v>
      </c>
      <c r="AB85" s="204" t="s">
        <v>2597</v>
      </c>
      <c r="AC85" s="204" t="s">
        <v>2597</v>
      </c>
    </row>
    <row r="86" spans="1:29" ht="15">
      <c r="A86" s="182" t="s">
        <v>1010</v>
      </c>
      <c r="B86" s="182" t="s">
        <v>1830</v>
      </c>
      <c r="C86" s="182"/>
      <c r="D86" s="183">
        <v>2.1225999999999998</v>
      </c>
      <c r="E86" s="183">
        <v>1047.1872461634405</v>
      </c>
      <c r="F86" s="183">
        <v>1317.5358418979558</v>
      </c>
      <c r="G86" s="184">
        <v>0</v>
      </c>
      <c r="H86" s="184">
        <v>0</v>
      </c>
      <c r="I86" s="184">
        <v>0</v>
      </c>
      <c r="J86" s="177" t="b">
        <f>IF(ISBLANK(CertifiedCrop[[#This Row],[1. Identifiant interne d’exploitation agricole*]]),"",IF(ISERROR(MATCH(CertifiedCrop[[#This Row],[1. Identifiant interne d’exploitation agricole*]],GroupMember[1. Identifiant interne d’exploitation agricole*],0)),FALSE,TRUE))</f>
        <v>1</v>
      </c>
      <c r="K86" s="177" t="b">
        <f t="array" ref="K86">IF(ISBLANK(CertifiedCrop[[#This Row],[2. Produit agricole certifié*]]),"",IF(ISERROR(MATCH(1,(#REF!=CertifiedCrop[[#This Row],[2. Produit agricole certifié*]])*(#REF!=CertifiedCrop[[#This Row],[3. Variété**]]),0)),FALSE,TRUE))</f>
        <v>0</v>
      </c>
      <c r="L86" s="185" t="str">
        <f t="shared" si="5"/>
        <v/>
      </c>
      <c r="M86" s="186" t="str">
        <f t="shared" si="6"/>
        <v/>
      </c>
      <c r="N86" s="187" t="str">
        <f t="shared" si="7"/>
        <v/>
      </c>
      <c r="O86" s="188">
        <f t="shared" si="8"/>
        <v>493.35119483814219</v>
      </c>
      <c r="P86" s="188">
        <f t="shared" si="9"/>
        <v>620.71791288888903</v>
      </c>
      <c r="Q86" s="178" t="str">
        <f>IFERROR((VLOOKUP(A86,GM_Table,8,FALSE)-SUMIFS(D:D,A:A,A86,B:B,B86,C:C,C86)),"")</f>
        <v/>
      </c>
      <c r="R86" s="178" t="str">
        <f>IFERROR(CONCATENATE(VLOOKUP(A86,GM_Table,12,FALSE)," ",(VLOOKUP(A86,GM_Table,13,FALSE))),"")</f>
        <v/>
      </c>
      <c r="T86" s="203">
        <v>620.71791288888903</v>
      </c>
      <c r="U86" s="203">
        <v>0</v>
      </c>
      <c r="V86" s="204" t="s">
        <v>2597</v>
      </c>
      <c r="W86" s="203">
        <v>554.21242222222236</v>
      </c>
      <c r="X86" s="205">
        <v>-10.714285714285712</v>
      </c>
      <c r="Y86" s="204" t="s">
        <v>2597</v>
      </c>
      <c r="Z86" s="204" t="s">
        <v>2597</v>
      </c>
      <c r="AA86" s="204" t="s">
        <v>2597</v>
      </c>
      <c r="AB86" s="204" t="s">
        <v>2597</v>
      </c>
      <c r="AC86" s="204" t="s">
        <v>2597</v>
      </c>
    </row>
    <row r="87" spans="1:29" ht="15">
      <c r="A87" s="182" t="s">
        <v>1014</v>
      </c>
      <c r="B87" s="182" t="s">
        <v>1830</v>
      </c>
      <c r="C87" s="182"/>
      <c r="D87" s="183">
        <v>2.8275000000000001</v>
      </c>
      <c r="E87" s="183">
        <v>1395.5740801092124</v>
      </c>
      <c r="F87" s="183">
        <v>1456.62225122222</v>
      </c>
      <c r="G87" s="184">
        <v>0</v>
      </c>
      <c r="H87" s="184">
        <v>0</v>
      </c>
      <c r="I87" s="184">
        <v>0</v>
      </c>
      <c r="J87" s="177" t="b">
        <f>IF(ISBLANK(CertifiedCrop[[#This Row],[1. Identifiant interne d’exploitation agricole*]]),"",IF(ISERROR(MATCH(CertifiedCrop[[#This Row],[1. Identifiant interne d’exploitation agricole*]],GroupMember[1. Identifiant interne d’exploitation agricole*],0)),FALSE,TRUE))</f>
        <v>1</v>
      </c>
      <c r="K87" s="177" t="b">
        <f t="array" ref="K87">IF(ISBLANK(CertifiedCrop[[#This Row],[2. Produit agricole certifié*]]),"",IF(ISERROR(MATCH(1,(#REF!=CertifiedCrop[[#This Row],[2. Produit agricole certifié*]])*(#REF!=CertifiedCrop[[#This Row],[3. Variété**]]),0)),FALSE,TRUE))</f>
        <v>0</v>
      </c>
      <c r="L87" s="185" t="str">
        <f t="shared" si="5"/>
        <v/>
      </c>
      <c r="M87" s="186" t="str">
        <f t="shared" si="6"/>
        <v/>
      </c>
      <c r="N87" s="187" t="str">
        <f t="shared" si="7"/>
        <v/>
      </c>
      <c r="O87" s="188">
        <f t="shared" si="8"/>
        <v>493.57173478663566</v>
      </c>
      <c r="P87" s="188">
        <f t="shared" si="9"/>
        <v>515.16259990175774</v>
      </c>
      <c r="Q87" s="178" t="str">
        <f>IFERROR((VLOOKUP(A87,GM_Table,8,FALSE)-SUMIFS(D:D,A:A,A87,B:B,B87,C:C,C87)),"")</f>
        <v/>
      </c>
      <c r="R87" s="178" t="str">
        <f>IFERROR(CONCATENATE(VLOOKUP(A87,GM_Table,12,FALSE)," ",(VLOOKUP(A87,GM_Table,13,FALSE))),"")</f>
        <v/>
      </c>
      <c r="T87" s="203">
        <v>621.26339565772673</v>
      </c>
      <c r="U87" s="203">
        <v>0</v>
      </c>
      <c r="V87" s="204" t="s">
        <v>2597</v>
      </c>
      <c r="W87" s="203">
        <v>554.69946040868456</v>
      </c>
      <c r="X87" s="205">
        <v>-10.714285714285717</v>
      </c>
      <c r="Y87" s="204" t="s">
        <v>2597</v>
      </c>
      <c r="Z87" s="204" t="s">
        <v>2597</v>
      </c>
      <c r="AA87" s="204" t="s">
        <v>2597</v>
      </c>
      <c r="AB87" s="204" t="s">
        <v>2597</v>
      </c>
      <c r="AC87" s="204" t="s">
        <v>2597</v>
      </c>
    </row>
    <row r="88" spans="1:29" ht="15">
      <c r="A88" s="182" t="s">
        <v>1017</v>
      </c>
      <c r="B88" s="182" t="s">
        <v>1830</v>
      </c>
      <c r="C88" s="182"/>
      <c r="D88" s="183">
        <v>2.2604000000000002</v>
      </c>
      <c r="E88" s="183">
        <v>1115.9767769443351</v>
      </c>
      <c r="F88" s="183">
        <v>1403.3118096964333</v>
      </c>
      <c r="G88" s="184">
        <v>0</v>
      </c>
      <c r="H88" s="184">
        <v>0</v>
      </c>
      <c r="I88" s="184">
        <v>0</v>
      </c>
      <c r="J88" s="177" t="b">
        <f>IF(ISBLANK(CertifiedCrop[[#This Row],[1. Identifiant interne d’exploitation agricole*]]),"",IF(ISERROR(MATCH(CertifiedCrop[[#This Row],[1. Identifiant interne d’exploitation agricole*]],GroupMember[1. Identifiant interne d’exploitation agricole*],0)),FALSE,TRUE))</f>
        <v>1</v>
      </c>
      <c r="K88" s="177" t="b">
        <f t="array" ref="K88">IF(ISBLANK(CertifiedCrop[[#This Row],[2. Produit agricole certifié*]]),"",IF(ISERROR(MATCH(1,(#REF!=CertifiedCrop[[#This Row],[2. Produit agricole certifié*]])*(#REF!=CertifiedCrop[[#This Row],[3. Variété**]]),0)),FALSE,TRUE))</f>
        <v>0</v>
      </c>
      <c r="L88" s="185" t="str">
        <f t="shared" si="5"/>
        <v/>
      </c>
      <c r="M88" s="186" t="str">
        <f t="shared" si="6"/>
        <v/>
      </c>
      <c r="N88" s="187" t="str">
        <f t="shared" si="7"/>
        <v/>
      </c>
      <c r="O88" s="188">
        <f t="shared" si="8"/>
        <v>493.70765216082776</v>
      </c>
      <c r="P88" s="188">
        <f t="shared" si="9"/>
        <v>620.8245486181354</v>
      </c>
      <c r="Q88" s="178" t="str">
        <f>IFERROR((VLOOKUP(A88,GM_Table,8,FALSE)-SUMIFS(D:D,A:A,A88,B:B,B88,C:C,C88)),"")</f>
        <v/>
      </c>
      <c r="R88" s="178" t="str">
        <f>IFERROR(CONCATENATE(VLOOKUP(A88,GM_Table,12,FALSE)," ",(VLOOKUP(A88,GM_Table,13,FALSE))),"")</f>
        <v/>
      </c>
      <c r="T88" s="203">
        <v>620.8245486181354</v>
      </c>
      <c r="U88" s="203">
        <v>0</v>
      </c>
      <c r="V88" s="204" t="s">
        <v>2597</v>
      </c>
      <c r="W88" s="203">
        <v>554.3076326947637</v>
      </c>
      <c r="X88" s="205">
        <v>-10.714285714285722</v>
      </c>
      <c r="Y88" s="204" t="s">
        <v>2597</v>
      </c>
      <c r="Z88" s="204" t="s">
        <v>2597</v>
      </c>
      <c r="AA88" s="204" t="s">
        <v>2597</v>
      </c>
      <c r="AB88" s="204" t="s">
        <v>2597</v>
      </c>
      <c r="AC88" s="204" t="s">
        <v>2597</v>
      </c>
    </row>
    <row r="89" spans="1:29" ht="15">
      <c r="A89" s="182" t="s">
        <v>1021</v>
      </c>
      <c r="B89" s="182" t="s">
        <v>1830</v>
      </c>
      <c r="C89" s="182"/>
      <c r="D89" s="183">
        <v>1.4298</v>
      </c>
      <c r="E89" s="183">
        <v>706.15583764935423</v>
      </c>
      <c r="F89" s="183">
        <v>886.735928538949</v>
      </c>
      <c r="G89" s="184">
        <v>0</v>
      </c>
      <c r="H89" s="184">
        <v>0</v>
      </c>
      <c r="I89" s="184">
        <v>0</v>
      </c>
      <c r="J89" s="177" t="b">
        <f>IF(ISBLANK(CertifiedCrop[[#This Row],[1. Identifiant interne d’exploitation agricole*]]),"",IF(ISERROR(MATCH(CertifiedCrop[[#This Row],[1. Identifiant interne d’exploitation agricole*]],GroupMember[1. Identifiant interne d’exploitation agricole*],0)),FALSE,TRUE))</f>
        <v>1</v>
      </c>
      <c r="K89" s="177" t="b">
        <f t="array" ref="K89">IF(ISBLANK(CertifiedCrop[[#This Row],[2. Produit agricole certifié*]]),"",IF(ISERROR(MATCH(1,(#REF!=CertifiedCrop[[#This Row],[2. Produit agricole certifié*]])*(#REF!=CertifiedCrop[[#This Row],[3. Variété**]]),0)),FALSE,TRUE))</f>
        <v>0</v>
      </c>
      <c r="L89" s="185" t="str">
        <f t="shared" si="5"/>
        <v/>
      </c>
      <c r="M89" s="186" t="str">
        <f t="shared" si="6"/>
        <v/>
      </c>
      <c r="N89" s="187" t="str">
        <f t="shared" si="7"/>
        <v/>
      </c>
      <c r="O89" s="188">
        <f t="shared" si="8"/>
        <v>493.88434581714523</v>
      </c>
      <c r="P89" s="188">
        <f t="shared" si="9"/>
        <v>620.18179363473848</v>
      </c>
      <c r="Q89" s="178" t="str">
        <f>IFERROR((VLOOKUP(A89,GM_Table,8,FALSE)-SUMIFS(D:D,A:A,A89,B:B,B89,C:C,C89)),"")</f>
        <v/>
      </c>
      <c r="R89" s="178" t="str">
        <f>IFERROR(CONCATENATE(VLOOKUP(A89,GM_Table,12,FALSE)," ",(VLOOKUP(A89,GM_Table,13,FALSE))),"")</f>
        <v/>
      </c>
      <c r="T89" s="203">
        <v>620.18179363473814</v>
      </c>
      <c r="U89" s="203">
        <v>0</v>
      </c>
      <c r="V89" s="204" t="s">
        <v>2597</v>
      </c>
      <c r="W89" s="203">
        <v>553.73374431673051</v>
      </c>
      <c r="X89" s="205">
        <v>-10.714285714285712</v>
      </c>
      <c r="Y89" s="204" t="s">
        <v>2597</v>
      </c>
      <c r="Z89" s="204" t="s">
        <v>2597</v>
      </c>
      <c r="AA89" s="204" t="s">
        <v>2597</v>
      </c>
      <c r="AB89" s="204" t="s">
        <v>2597</v>
      </c>
      <c r="AC89" s="204" t="s">
        <v>2597</v>
      </c>
    </row>
    <row r="90" spans="1:29" ht="15">
      <c r="A90" s="182" t="s">
        <v>1025</v>
      </c>
      <c r="B90" s="182" t="s">
        <v>1830</v>
      </c>
      <c r="C90" s="182"/>
      <c r="D90" s="183">
        <v>2.5464000000000002</v>
      </c>
      <c r="E90" s="183">
        <v>1258.0728390733168</v>
      </c>
      <c r="F90" s="183">
        <v>1381.43119841829</v>
      </c>
      <c r="G90" s="184">
        <v>0</v>
      </c>
      <c r="H90" s="184">
        <v>0</v>
      </c>
      <c r="I90" s="184">
        <v>0</v>
      </c>
      <c r="J90" s="177" t="b">
        <f>IF(ISBLANK(CertifiedCrop[[#This Row],[1. Identifiant interne d’exploitation agricole*]]),"",IF(ISERROR(MATCH(CertifiedCrop[[#This Row],[1. Identifiant interne d’exploitation agricole*]],GroupMember[1. Identifiant interne d’exploitation agricole*],0)),FALSE,TRUE))</f>
        <v>1</v>
      </c>
      <c r="K90" s="177" t="b">
        <f t="array" ref="K90">IF(ISBLANK(CertifiedCrop[[#This Row],[2. Produit agricole certifié*]]),"",IF(ISERROR(MATCH(1,(#REF!=CertifiedCrop[[#This Row],[2. Produit agricole certifié*]])*(#REF!=CertifiedCrop[[#This Row],[3. Variété**]]),0)),FALSE,TRUE))</f>
        <v>0</v>
      </c>
      <c r="L90" s="185" t="str">
        <f t="shared" si="5"/>
        <v/>
      </c>
      <c r="M90" s="186" t="str">
        <f t="shared" si="6"/>
        <v/>
      </c>
      <c r="N90" s="187" t="str">
        <f t="shared" si="7"/>
        <v/>
      </c>
      <c r="O90" s="188">
        <f t="shared" si="8"/>
        <v>494.05939328986676</v>
      </c>
      <c r="P90" s="188">
        <f t="shared" si="9"/>
        <v>542.50361232260832</v>
      </c>
      <c r="Q90" s="178" t="str">
        <f>IFERROR((VLOOKUP(A90,GM_Table,8,FALSE)-SUMIFS(D:D,A:A,A90,B:B,B90,C:C,C90)),"")</f>
        <v/>
      </c>
      <c r="R90" s="178" t="str">
        <f>IFERROR(CONCATENATE(VLOOKUP(A90,GM_Table,12,FALSE)," ",(VLOOKUP(A90,GM_Table,13,FALSE))),"")</f>
        <v/>
      </c>
      <c r="T90" s="203">
        <v>621.04586805619419</v>
      </c>
      <c r="U90" s="203">
        <v>0</v>
      </c>
      <c r="V90" s="204" t="s">
        <v>2597</v>
      </c>
      <c r="W90" s="203">
        <v>554.50523933588772</v>
      </c>
      <c r="X90" s="205">
        <v>-10.714285714285706</v>
      </c>
      <c r="Y90" s="204" t="s">
        <v>2597</v>
      </c>
      <c r="Z90" s="204" t="s">
        <v>2597</v>
      </c>
      <c r="AA90" s="204" t="s">
        <v>2597</v>
      </c>
      <c r="AB90" s="204" t="s">
        <v>2597</v>
      </c>
      <c r="AC90" s="204" t="s">
        <v>2597</v>
      </c>
    </row>
    <row r="91" spans="1:29" ht="15">
      <c r="A91" s="182" t="s">
        <v>1027</v>
      </c>
      <c r="B91" s="182" t="s">
        <v>1830</v>
      </c>
      <c r="C91" s="182"/>
      <c r="D91" s="183">
        <v>1.1492</v>
      </c>
      <c r="E91" s="183">
        <v>568.2940032330531</v>
      </c>
      <c r="F91" s="183">
        <v>712.46337917623089</v>
      </c>
      <c r="G91" s="184">
        <v>0</v>
      </c>
      <c r="H91" s="184">
        <v>0</v>
      </c>
      <c r="I91" s="184">
        <v>0</v>
      </c>
      <c r="J91" s="177" t="b">
        <f>IF(ISBLANK(CertifiedCrop[[#This Row],[1. Identifiant interne d’exploitation agricole*]]),"",IF(ISERROR(MATCH(CertifiedCrop[[#This Row],[1. Identifiant interne d’exploitation agricole*]],GroupMember[1. Identifiant interne d’exploitation agricole*],0)),FALSE,TRUE))</f>
        <v>1</v>
      </c>
      <c r="K91" s="177" t="b">
        <f t="array" ref="K91">IF(ISBLANK(CertifiedCrop[[#This Row],[2. Produit agricole certifié*]]),"",IF(ISERROR(MATCH(1,(#REF!=CertifiedCrop[[#This Row],[2. Produit agricole certifié*]])*(#REF!=CertifiedCrop[[#This Row],[3. Variété**]]),0)),FALSE,TRUE))</f>
        <v>0</v>
      </c>
      <c r="L91" s="185" t="str">
        <f t="shared" si="5"/>
        <v/>
      </c>
      <c r="M91" s="186" t="str">
        <f t="shared" si="6"/>
        <v/>
      </c>
      <c r="N91" s="187" t="str">
        <f t="shared" si="7"/>
        <v/>
      </c>
      <c r="O91" s="188">
        <f t="shared" si="8"/>
        <v>494.51270730338769</v>
      </c>
      <c r="P91" s="188">
        <f t="shared" si="9"/>
        <v>619.96465295530015</v>
      </c>
      <c r="Q91" s="178" t="str">
        <f>IFERROR((VLOOKUP(A91,GM_Table,8,FALSE)-SUMIFS(D:D,A:A,A91,B:B,B91,C:C,C91)),"")</f>
        <v/>
      </c>
      <c r="R91" s="178" t="str">
        <f>IFERROR(CONCATENATE(VLOOKUP(A91,GM_Table,12,FALSE)," ",(VLOOKUP(A91,GM_Table,13,FALSE))),"")</f>
        <v/>
      </c>
      <c r="T91" s="203">
        <v>619.96465295530015</v>
      </c>
      <c r="U91" s="203">
        <v>0</v>
      </c>
      <c r="V91" s="204" t="s">
        <v>2597</v>
      </c>
      <c r="W91" s="203">
        <v>553.53986871008942</v>
      </c>
      <c r="X91" s="205">
        <v>-10.714285714285714</v>
      </c>
      <c r="Y91" s="204" t="s">
        <v>2597</v>
      </c>
      <c r="Z91" s="204" t="s">
        <v>2597</v>
      </c>
      <c r="AA91" s="204" t="s">
        <v>2597</v>
      </c>
      <c r="AB91" s="204" t="s">
        <v>2597</v>
      </c>
      <c r="AC91" s="204" t="s">
        <v>2597</v>
      </c>
    </row>
    <row r="92" spans="1:29" ht="15">
      <c r="A92" s="182" t="s">
        <v>1030</v>
      </c>
      <c r="B92" s="182" t="s">
        <v>1830</v>
      </c>
      <c r="C92" s="182"/>
      <c r="D92" s="183">
        <v>1.6935</v>
      </c>
      <c r="E92" s="183">
        <v>838.81740773644242</v>
      </c>
      <c r="F92" s="183">
        <v>1050.6234477242911</v>
      </c>
      <c r="G92" s="184">
        <v>0</v>
      </c>
      <c r="H92" s="184">
        <v>0</v>
      </c>
      <c r="I92" s="184">
        <v>0</v>
      </c>
      <c r="J92" s="177" t="b">
        <f>IF(ISBLANK(CertifiedCrop[[#This Row],[1. Identifiant interne d’exploitation agricole*]]),"",IF(ISERROR(MATCH(CertifiedCrop[[#This Row],[1. Identifiant interne d’exploitation agricole*]],GroupMember[1. Identifiant interne d’exploitation agricole*],0)),FALSE,TRUE))</f>
        <v>1</v>
      </c>
      <c r="K92" s="177" t="b">
        <f t="array" ref="K92">IF(ISBLANK(CertifiedCrop[[#This Row],[2. Produit agricole certifié*]]),"",IF(ISERROR(MATCH(1,(#REF!=CertifiedCrop[[#This Row],[2. Produit agricole certifié*]])*(#REF!=CertifiedCrop[[#This Row],[3. Variété**]]),0)),FALSE,TRUE))</f>
        <v>0</v>
      </c>
      <c r="L92" s="185" t="str">
        <f t="shared" si="5"/>
        <v/>
      </c>
      <c r="M92" s="186" t="str">
        <f t="shared" si="6"/>
        <v/>
      </c>
      <c r="N92" s="187" t="str">
        <f t="shared" si="7"/>
        <v/>
      </c>
      <c r="O92" s="188">
        <f t="shared" si="8"/>
        <v>495.31585930702238</v>
      </c>
      <c r="P92" s="188">
        <f t="shared" si="9"/>
        <v>620.38585634738183</v>
      </c>
      <c r="Q92" s="178" t="str">
        <f>IFERROR((VLOOKUP(A92,GM_Table,8,FALSE)-SUMIFS(D:D,A:A,A92,B:B,B92,C:C,C92)),"")</f>
        <v/>
      </c>
      <c r="R92" s="178" t="str">
        <f>IFERROR(CONCATENATE(VLOOKUP(A92,GM_Table,12,FALSE)," ",(VLOOKUP(A92,GM_Table,13,FALSE))),"")</f>
        <v/>
      </c>
      <c r="T92" s="203">
        <v>620.38585634738183</v>
      </c>
      <c r="U92" s="203">
        <v>0</v>
      </c>
      <c r="V92" s="204" t="s">
        <v>2597</v>
      </c>
      <c r="W92" s="203">
        <v>553.91594316730516</v>
      </c>
      <c r="X92" s="205">
        <v>-10.714285714285722</v>
      </c>
      <c r="Y92" s="204" t="s">
        <v>2597</v>
      </c>
      <c r="Z92" s="204" t="s">
        <v>2597</v>
      </c>
      <c r="AA92" s="204" t="s">
        <v>2597</v>
      </c>
      <c r="AB92" s="204" t="s">
        <v>2597</v>
      </c>
      <c r="AC92" s="204" t="s">
        <v>2597</v>
      </c>
    </row>
    <row r="93" spans="1:29" ht="15">
      <c r="A93" s="182" t="s">
        <v>1034</v>
      </c>
      <c r="B93" s="182" t="s">
        <v>1830</v>
      </c>
      <c r="C93" s="182"/>
      <c r="D93" s="183">
        <v>1.6818</v>
      </c>
      <c r="E93" s="183">
        <v>833.5952238626204</v>
      </c>
      <c r="F93" s="183">
        <v>1043.3497062264887</v>
      </c>
      <c r="G93" s="184">
        <v>0</v>
      </c>
      <c r="H93" s="184">
        <v>0</v>
      </c>
      <c r="I93" s="184">
        <v>0</v>
      </c>
      <c r="J93" s="177" t="b">
        <f>IF(ISBLANK(CertifiedCrop[[#This Row],[1. Identifiant interne d’exploitation agricole*]]),"",IF(ISERROR(MATCH(CertifiedCrop[[#This Row],[1. Identifiant interne d’exploitation agricole*]],GroupMember[1. Identifiant interne d’exploitation agricole*],0)),FALSE,TRUE))</f>
        <v>1</v>
      </c>
      <c r="K93" s="177" t="b">
        <f t="array" ref="K93">IF(ISBLANK(CertifiedCrop[[#This Row],[2. Produit agricole certifié*]]),"",IF(ISERROR(MATCH(1,(#REF!=CertifiedCrop[[#This Row],[2. Produit agricole certifié*]])*(#REF!=CertifiedCrop[[#This Row],[3. Variété**]]),0)),FALSE,TRUE))</f>
        <v>0</v>
      </c>
      <c r="L93" s="185" t="str">
        <f t="shared" si="5"/>
        <v/>
      </c>
      <c r="M93" s="186" t="str">
        <f t="shared" si="6"/>
        <v/>
      </c>
      <c r="N93" s="187" t="str">
        <f t="shared" si="7"/>
        <v/>
      </c>
      <c r="O93" s="188">
        <f t="shared" si="8"/>
        <v>495.65657263801904</v>
      </c>
      <c r="P93" s="188">
        <f t="shared" si="9"/>
        <v>620.37680237037023</v>
      </c>
      <c r="Q93" s="178" t="str">
        <f>IFERROR((VLOOKUP(A93,GM_Table,8,FALSE)-SUMIFS(D:D,A:A,A93,B:B,B93,C:C,C93)),"")</f>
        <v/>
      </c>
      <c r="R93" s="178" t="str">
        <f>IFERROR(CONCATENATE(VLOOKUP(A93,GM_Table,12,FALSE)," ",(VLOOKUP(A93,GM_Table,13,FALSE))),"")</f>
        <v/>
      </c>
      <c r="T93" s="203">
        <v>620.37680237037023</v>
      </c>
      <c r="U93" s="203">
        <v>0</v>
      </c>
      <c r="V93" s="204" t="s">
        <v>2597</v>
      </c>
      <c r="W93" s="203">
        <v>553.90785925925923</v>
      </c>
      <c r="X93" s="205">
        <v>-10.714285714285699</v>
      </c>
      <c r="Y93" s="204" t="s">
        <v>2597</v>
      </c>
      <c r="Z93" s="204" t="s">
        <v>2597</v>
      </c>
      <c r="AA93" s="204" t="s">
        <v>2597</v>
      </c>
      <c r="AB93" s="204" t="s">
        <v>2597</v>
      </c>
      <c r="AC93" s="204" t="s">
        <v>2597</v>
      </c>
    </row>
    <row r="94" spans="1:29" ht="15">
      <c r="A94" s="182" t="s">
        <v>1037</v>
      </c>
      <c r="B94" s="182" t="s">
        <v>1830</v>
      </c>
      <c r="C94" s="182"/>
      <c r="D94" s="183">
        <v>4.5156000000000001</v>
      </c>
      <c r="E94" s="183">
        <v>2238.9187821633732</v>
      </c>
      <c r="F94" s="183">
        <v>2511.2758368131399</v>
      </c>
      <c r="G94" s="184">
        <v>0</v>
      </c>
      <c r="H94" s="184">
        <v>0</v>
      </c>
      <c r="I94" s="184">
        <v>0</v>
      </c>
      <c r="J94" s="177" t="b">
        <f>IF(ISBLANK(CertifiedCrop[[#This Row],[1. Identifiant interne d’exploitation agricole*]]),"",IF(ISERROR(MATCH(CertifiedCrop[[#This Row],[1. Identifiant interne d’exploitation agricole*]],GroupMember[1. Identifiant interne d’exploitation agricole*],0)),FALSE,TRUE))</f>
        <v>1</v>
      </c>
      <c r="K94" s="177" t="b">
        <f t="array" ref="K94">IF(ISBLANK(CertifiedCrop[[#This Row],[2. Produit agricole certifié*]]),"",IF(ISERROR(MATCH(1,(#REF!=CertifiedCrop[[#This Row],[2. Produit agricole certifié*]])*(#REF!=CertifiedCrop[[#This Row],[3. Variété**]]),0)),FALSE,TRUE))</f>
        <v>0</v>
      </c>
      <c r="L94" s="185" t="str">
        <f t="shared" si="5"/>
        <v/>
      </c>
      <c r="M94" s="186" t="str">
        <f t="shared" si="6"/>
        <v/>
      </c>
      <c r="N94" s="187" t="str">
        <f t="shared" si="7"/>
        <v/>
      </c>
      <c r="O94" s="188">
        <f t="shared" si="8"/>
        <v>495.8186690945551</v>
      </c>
      <c r="P94" s="188">
        <f t="shared" si="9"/>
        <v>556.13336806031089</v>
      </c>
      <c r="Q94" s="178" t="str">
        <f>IFERROR((VLOOKUP(A94,GM_Table,8,FALSE)-SUMIFS(D:D,A:A,A94,B:B,B94,C:C,C94)),"")</f>
        <v/>
      </c>
      <c r="R94" s="178" t="str">
        <f>IFERROR(CONCATENATE(VLOOKUP(A94,GM_Table,12,FALSE)," ",(VLOOKUP(A94,GM_Table,13,FALSE))),"")</f>
        <v/>
      </c>
      <c r="T94" s="203">
        <v>622.56972203320549</v>
      </c>
      <c r="U94" s="203">
        <v>0</v>
      </c>
      <c r="V94" s="204" t="s">
        <v>2597</v>
      </c>
      <c r="W94" s="203">
        <v>555.86582324393351</v>
      </c>
      <c r="X94" s="205">
        <v>-10.71428571428571</v>
      </c>
      <c r="Y94" s="204" t="s">
        <v>2597</v>
      </c>
      <c r="Z94" s="204" t="s">
        <v>2597</v>
      </c>
      <c r="AA94" s="204" t="s">
        <v>2597</v>
      </c>
      <c r="AB94" s="204" t="s">
        <v>2597</v>
      </c>
      <c r="AC94" s="204" t="s">
        <v>2597</v>
      </c>
    </row>
    <row r="95" spans="1:29" ht="15">
      <c r="A95" s="182" t="s">
        <v>1040</v>
      </c>
      <c r="B95" s="182" t="s">
        <v>1830</v>
      </c>
      <c r="C95" s="182"/>
      <c r="D95" s="183">
        <v>1.0177</v>
      </c>
      <c r="E95" s="183">
        <v>504.92372032098626</v>
      </c>
      <c r="F95" s="183">
        <v>630.83446564071107</v>
      </c>
      <c r="G95" s="184">
        <v>0</v>
      </c>
      <c r="H95" s="184">
        <v>0</v>
      </c>
      <c r="I95" s="184">
        <v>0</v>
      </c>
      <c r="J95" s="177" t="b">
        <f>IF(ISBLANK(CertifiedCrop[[#This Row],[1. Identifiant interne d’exploitation agricole*]]),"",IF(ISERROR(MATCH(CertifiedCrop[[#This Row],[1. Identifiant interne d’exploitation agricole*]],GroupMember[1. Identifiant interne d’exploitation agricole*],0)),FALSE,TRUE))</f>
        <v>1</v>
      </c>
      <c r="K95" s="177" t="b">
        <f t="array" ref="K95">IF(ISBLANK(CertifiedCrop[[#This Row],[2. Produit agricole certifié*]]),"",IF(ISERROR(MATCH(1,(#REF!=CertifiedCrop[[#This Row],[2. Produit agricole certifié*]])*(#REF!=CertifiedCrop[[#This Row],[3. Variété**]]),0)),FALSE,TRUE))</f>
        <v>0</v>
      </c>
      <c r="L95" s="185" t="str">
        <f t="shared" si="5"/>
        <v/>
      </c>
      <c r="M95" s="186" t="str">
        <f t="shared" si="6"/>
        <v/>
      </c>
      <c r="N95" s="187" t="str">
        <f t="shared" si="7"/>
        <v/>
      </c>
      <c r="O95" s="188">
        <f t="shared" si="8"/>
        <v>496.14200680061532</v>
      </c>
      <c r="P95" s="188">
        <f t="shared" si="9"/>
        <v>619.86289244444436</v>
      </c>
      <c r="Q95" s="178" t="str">
        <f>IFERROR((VLOOKUP(A95,GM_Table,8,FALSE)-SUMIFS(D:D,A:A,A95,B:B,B95,C:C,C95)),"")</f>
        <v/>
      </c>
      <c r="R95" s="178" t="str">
        <f>IFERROR(CONCATENATE(VLOOKUP(A95,GM_Table,12,FALSE)," ",(VLOOKUP(A95,GM_Table,13,FALSE))),"")</f>
        <v/>
      </c>
      <c r="T95" s="203">
        <v>619.86289244444436</v>
      </c>
      <c r="U95" s="203">
        <v>0</v>
      </c>
      <c r="V95" s="204" t="s">
        <v>2597</v>
      </c>
      <c r="W95" s="203">
        <v>553.44901111111108</v>
      </c>
      <c r="X95" s="205">
        <v>-10.714285714285706</v>
      </c>
      <c r="Y95" s="204" t="s">
        <v>2597</v>
      </c>
      <c r="Z95" s="204" t="s">
        <v>2597</v>
      </c>
      <c r="AA95" s="204" t="s">
        <v>2597</v>
      </c>
      <c r="AB95" s="204" t="s">
        <v>2597</v>
      </c>
      <c r="AC95" s="204" t="s">
        <v>2597</v>
      </c>
    </row>
    <row r="96" spans="1:29" ht="15">
      <c r="A96" s="182" t="s">
        <v>1043</v>
      </c>
      <c r="B96" s="182" t="s">
        <v>1830</v>
      </c>
      <c r="C96" s="182"/>
      <c r="D96" s="183">
        <v>1.5848</v>
      </c>
      <c r="E96" s="183">
        <v>786.45215004904037</v>
      </c>
      <c r="F96" s="183">
        <v>983.05419673429992</v>
      </c>
      <c r="G96" s="184">
        <v>0</v>
      </c>
      <c r="H96" s="184">
        <v>0</v>
      </c>
      <c r="I96" s="184">
        <v>0</v>
      </c>
      <c r="J96" s="177" t="b">
        <f>IF(ISBLANK(CertifiedCrop[[#This Row],[1. Identifiant interne d’exploitation agricole*]]),"",IF(ISERROR(MATCH(CertifiedCrop[[#This Row],[1. Identifiant interne d’exploitation agricole*]],GroupMember[1. Identifiant interne d’exploitation agricole*],0)),FALSE,TRUE))</f>
        <v>1</v>
      </c>
      <c r="K96" s="177" t="b">
        <f t="array" ref="K96">IF(ISBLANK(CertifiedCrop[[#This Row],[2. Produit agricole certifié*]]),"",IF(ISERROR(MATCH(1,(#REF!=CertifiedCrop[[#This Row],[2. Produit agricole certifié*]])*(#REF!=CertifiedCrop[[#This Row],[3. Variété**]]),0)),FALSE,TRUE))</f>
        <v>0</v>
      </c>
      <c r="L96" s="185" t="str">
        <f t="shared" si="5"/>
        <v/>
      </c>
      <c r="M96" s="186" t="str">
        <f t="shared" si="6"/>
        <v/>
      </c>
      <c r="N96" s="187" t="str">
        <f t="shared" si="7"/>
        <v/>
      </c>
      <c r="O96" s="188">
        <f t="shared" si="8"/>
        <v>496.24693970787507</v>
      </c>
      <c r="P96" s="188">
        <f t="shared" si="9"/>
        <v>620.30173948403581</v>
      </c>
      <c r="Q96" s="178" t="str">
        <f>IFERROR((VLOOKUP(A96,GM_Table,8,FALSE)-SUMIFS(D:D,A:A,A96,B:B,B96,C:C,C96)),"")</f>
        <v/>
      </c>
      <c r="R96" s="178" t="str">
        <f>IFERROR(CONCATENATE(VLOOKUP(A96,GM_Table,12,FALSE)," ",(VLOOKUP(A96,GM_Table,13,FALSE))),"")</f>
        <v/>
      </c>
      <c r="T96" s="203">
        <v>620.30173948403581</v>
      </c>
      <c r="U96" s="203">
        <v>0</v>
      </c>
      <c r="V96" s="204" t="s">
        <v>2597</v>
      </c>
      <c r="W96" s="203">
        <v>553.84083882503194</v>
      </c>
      <c r="X96" s="205">
        <v>-10.714285714285719</v>
      </c>
      <c r="Y96" s="204" t="s">
        <v>2597</v>
      </c>
      <c r="Z96" s="204" t="s">
        <v>2597</v>
      </c>
      <c r="AA96" s="204" t="s">
        <v>2597</v>
      </c>
      <c r="AB96" s="204" t="s">
        <v>2597</v>
      </c>
      <c r="AC96" s="204" t="s">
        <v>2597</v>
      </c>
    </row>
    <row r="97" spans="1:29" ht="15">
      <c r="A97" s="182" t="s">
        <v>1046</v>
      </c>
      <c r="B97" s="182" t="s">
        <v>1830</v>
      </c>
      <c r="C97" s="182"/>
      <c r="D97" s="183">
        <v>9.9945000000000004</v>
      </c>
      <c r="E97" s="183">
        <v>4963.2155656980376</v>
      </c>
      <c r="F97" s="183">
        <v>5264.6479171507999</v>
      </c>
      <c r="G97" s="184">
        <v>0</v>
      </c>
      <c r="H97" s="184">
        <v>0</v>
      </c>
      <c r="I97" s="184">
        <v>0</v>
      </c>
      <c r="J97" s="177" t="b">
        <f>IF(ISBLANK(CertifiedCrop[[#This Row],[1. Identifiant interne d’exploitation agricole*]]),"",IF(ISERROR(MATCH(CertifiedCrop[[#This Row],[1. Identifiant interne d’exploitation agricole*]],GroupMember[1. Identifiant interne d’exploitation agricole*],0)),FALSE,TRUE))</f>
        <v>1</v>
      </c>
      <c r="K97" s="177" t="b">
        <f t="array" ref="K97">IF(ISBLANK(CertifiedCrop[[#This Row],[2. Produit agricole certifié*]]),"",IF(ISERROR(MATCH(1,(#REF!=CertifiedCrop[[#This Row],[2. Produit agricole certifié*]])*(#REF!=CertifiedCrop[[#This Row],[3. Variété**]]),0)),FALSE,TRUE))</f>
        <v>0</v>
      </c>
      <c r="L97" s="185" t="str">
        <f t="shared" si="5"/>
        <v/>
      </c>
      <c r="M97" s="186" t="str">
        <f t="shared" si="6"/>
        <v/>
      </c>
      <c r="N97" s="187" t="str">
        <f t="shared" si="7"/>
        <v/>
      </c>
      <c r="O97" s="188">
        <f t="shared" si="8"/>
        <v>496.59468364580891</v>
      </c>
      <c r="P97" s="188">
        <f t="shared" si="9"/>
        <v>526.75450669376153</v>
      </c>
      <c r="Q97" s="178" t="str">
        <f>IFERROR((VLOOKUP(A97,GM_Table,8,FALSE)-SUMIFS(D:D,A:A,A97,B:B,B97,C:C,C97)),"")</f>
        <v/>
      </c>
      <c r="R97" s="178" t="str">
        <f>IFERROR(CONCATENATE(VLOOKUP(A97,GM_Table,12,FALSE)," ",(VLOOKUP(A97,GM_Table,13,FALSE))),"")</f>
        <v/>
      </c>
      <c r="T97" s="203">
        <v>626.80953696040865</v>
      </c>
      <c r="U97" s="203">
        <v>0</v>
      </c>
      <c r="V97" s="204" t="s">
        <v>2597</v>
      </c>
      <c r="W97" s="203">
        <v>559.65137228607921</v>
      </c>
      <c r="X97" s="205">
        <v>-10.714285714285705</v>
      </c>
      <c r="Y97" s="204" t="s">
        <v>2597</v>
      </c>
      <c r="Z97" s="204" t="s">
        <v>2597</v>
      </c>
      <c r="AA97" s="204" t="s">
        <v>2597</v>
      </c>
      <c r="AB97" s="204" t="s">
        <v>2597</v>
      </c>
      <c r="AC97" s="204" t="s">
        <v>2597</v>
      </c>
    </row>
    <row r="98" spans="1:29" ht="15">
      <c r="A98" s="182" t="s">
        <v>1050</v>
      </c>
      <c r="B98" s="182" t="s">
        <v>1830</v>
      </c>
      <c r="C98" s="182"/>
      <c r="D98" s="183">
        <v>4.4454000000000002</v>
      </c>
      <c r="E98" s="183">
        <v>2209.1120988864382</v>
      </c>
      <c r="F98" s="183">
        <v>2467.3299510299698</v>
      </c>
      <c r="G98" s="184">
        <v>0</v>
      </c>
      <c r="H98" s="184">
        <v>0</v>
      </c>
      <c r="I98" s="184">
        <v>0</v>
      </c>
      <c r="J98" s="177" t="b">
        <f>IF(ISBLANK(CertifiedCrop[[#This Row],[1. Identifiant interne d’exploitation agricole*]]),"",IF(ISERROR(MATCH(CertifiedCrop[[#This Row],[1. Identifiant interne d’exploitation agricole*]],GroupMember[1. Identifiant interne d’exploitation agricole*],0)),FALSE,TRUE))</f>
        <v>1</v>
      </c>
      <c r="K98" s="177" t="b">
        <f t="array" ref="K98">IF(ISBLANK(CertifiedCrop[[#This Row],[2. Produit agricole certifié*]]),"",IF(ISERROR(MATCH(1,(#REF!=CertifiedCrop[[#This Row],[2. Produit agricole certifié*]])*(#REF!=CertifiedCrop[[#This Row],[3. Variété**]]),0)),FALSE,TRUE))</f>
        <v>0</v>
      </c>
      <c r="L98" s="185" t="str">
        <f t="shared" si="5"/>
        <v/>
      </c>
      <c r="M98" s="186" t="str">
        <f t="shared" si="6"/>
        <v/>
      </c>
      <c r="N98" s="187" t="str">
        <f t="shared" si="7"/>
        <v/>
      </c>
      <c r="O98" s="188">
        <f t="shared" si="8"/>
        <v>496.94337942287262</v>
      </c>
      <c r="P98" s="188">
        <f t="shared" si="9"/>
        <v>555.02990755161954</v>
      </c>
      <c r="Q98" s="178" t="str">
        <f>IFERROR((VLOOKUP(A98,GM_Table,8,FALSE)-SUMIFS(D:D,A:A,A98,B:B,B98,C:C,C98)),"")</f>
        <v/>
      </c>
      <c r="R98" s="178" t="str">
        <f>IFERROR(CONCATENATE(VLOOKUP(A98,GM_Table,12,FALSE)," ",(VLOOKUP(A98,GM_Table,13,FALSE))),"")</f>
        <v/>
      </c>
      <c r="T98" s="203">
        <v>622.51539817113655</v>
      </c>
      <c r="U98" s="203">
        <v>0</v>
      </c>
      <c r="V98" s="204" t="s">
        <v>2597</v>
      </c>
      <c r="W98" s="203">
        <v>555.81731979565768</v>
      </c>
      <c r="X98" s="205">
        <v>-10.714285714285706</v>
      </c>
      <c r="Y98" s="204" t="s">
        <v>2597</v>
      </c>
      <c r="Z98" s="204" t="s">
        <v>2597</v>
      </c>
      <c r="AA98" s="204" t="s">
        <v>2597</v>
      </c>
      <c r="AB98" s="204" t="s">
        <v>2597</v>
      </c>
      <c r="AC98" s="204" t="s">
        <v>2597</v>
      </c>
    </row>
    <row r="99" spans="1:29" ht="15">
      <c r="A99" s="182" t="s">
        <v>1052</v>
      </c>
      <c r="B99" s="182" t="s">
        <v>1830</v>
      </c>
      <c r="C99" s="182"/>
      <c r="D99" s="183">
        <v>2.1766999999999999</v>
      </c>
      <c r="E99" s="183">
        <v>1081.8230706684653</v>
      </c>
      <c r="F99" s="183">
        <v>1351.2078084668058</v>
      </c>
      <c r="G99" s="184">
        <v>0</v>
      </c>
      <c r="H99" s="184">
        <v>0</v>
      </c>
      <c r="I99" s="184">
        <v>0</v>
      </c>
      <c r="J99" s="177" t="b">
        <f>IF(ISBLANK(CertifiedCrop[[#This Row],[1. Identifiant interne d’exploitation agricole*]]),"",IF(ISERROR(MATCH(CertifiedCrop[[#This Row],[1. Identifiant interne d’exploitation agricole*]],GroupMember[1. Identifiant interne d’exploitation agricole*],0)),FALSE,TRUE))</f>
        <v>1</v>
      </c>
      <c r="K99" s="177" t="b">
        <f t="array" ref="K99">IF(ISBLANK(CertifiedCrop[[#This Row],[2. Produit agricole certifié*]]),"",IF(ISERROR(MATCH(1,(#REF!=CertifiedCrop[[#This Row],[2. Produit agricole certifié*]])*(#REF!=CertifiedCrop[[#This Row],[3. Variété**]]),0)),FALSE,TRUE))</f>
        <v>0</v>
      </c>
      <c r="L99" s="185" t="str">
        <f t="shared" si="5"/>
        <v/>
      </c>
      <c r="M99" s="186" t="str">
        <f t="shared" si="6"/>
        <v/>
      </c>
      <c r="N99" s="187" t="str">
        <f t="shared" si="7"/>
        <v/>
      </c>
      <c r="O99" s="188">
        <f t="shared" si="8"/>
        <v>497.00145664008153</v>
      </c>
      <c r="P99" s="188">
        <f t="shared" si="9"/>
        <v>620.75977785951477</v>
      </c>
      <c r="Q99" s="178" t="str">
        <f>IFERROR((VLOOKUP(A99,GM_Table,8,FALSE)-SUMIFS(D:D,A:A,A99,B:B,B99,C:C,C99)),"")</f>
        <v/>
      </c>
      <c r="R99" s="178" t="str">
        <f>IFERROR(CONCATENATE(VLOOKUP(A99,GM_Table,12,FALSE)," ",(VLOOKUP(A99,GM_Table,13,FALSE))),"")</f>
        <v/>
      </c>
      <c r="T99" s="203">
        <v>620.75977785951477</v>
      </c>
      <c r="U99" s="203">
        <v>0</v>
      </c>
      <c r="V99" s="204" t="s">
        <v>2597</v>
      </c>
      <c r="W99" s="203">
        <v>554.24980166028104</v>
      </c>
      <c r="X99" s="205">
        <v>-10.714285714285715</v>
      </c>
      <c r="Y99" s="204" t="s">
        <v>2597</v>
      </c>
      <c r="Z99" s="204" t="s">
        <v>2597</v>
      </c>
      <c r="AA99" s="204" t="s">
        <v>2597</v>
      </c>
      <c r="AB99" s="204" t="s">
        <v>2597</v>
      </c>
      <c r="AC99" s="204" t="s">
        <v>2597</v>
      </c>
    </row>
    <row r="100" spans="1:29" ht="15">
      <c r="A100" s="182" t="s">
        <v>1055</v>
      </c>
      <c r="B100" s="182" t="s">
        <v>1830</v>
      </c>
      <c r="C100" s="182"/>
      <c r="D100" s="183">
        <v>3.0510999999999999</v>
      </c>
      <c r="E100" s="183">
        <v>1517.3690255810004</v>
      </c>
      <c r="F100" s="183">
        <v>1796.0646830860301</v>
      </c>
      <c r="G100" s="184">
        <v>0</v>
      </c>
      <c r="H100" s="184">
        <v>0</v>
      </c>
      <c r="I100" s="184">
        <v>0</v>
      </c>
      <c r="J100" s="177" t="b">
        <f>IF(ISBLANK(CertifiedCrop[[#This Row],[1. Identifiant interne d’exploitation agricole*]]),"",IF(ISERROR(MATCH(CertifiedCrop[[#This Row],[1. Identifiant interne d’exploitation agricole*]],GroupMember[1. Identifiant interne d’exploitation agricole*],0)),FALSE,TRUE))</f>
        <v>1</v>
      </c>
      <c r="K100" s="177" t="b">
        <f t="array" ref="K100">IF(ISBLANK(CertifiedCrop[[#This Row],[2. Produit agricole certifié*]]),"",IF(ISERROR(MATCH(1,(#REF!=CertifiedCrop[[#This Row],[2. Produit agricole certifié*]])*(#REF!=CertifiedCrop[[#This Row],[3. Variété**]]),0)),FALSE,TRUE))</f>
        <v>0</v>
      </c>
      <c r="L100" s="185" t="str">
        <f t="shared" si="5"/>
        <v/>
      </c>
      <c r="M100" s="186" t="str">
        <f t="shared" si="6"/>
        <v/>
      </c>
      <c r="N100" s="187" t="str">
        <f t="shared" si="7"/>
        <v/>
      </c>
      <c r="O100" s="188">
        <f t="shared" si="8"/>
        <v>497.31868033856659</v>
      </c>
      <c r="P100" s="188">
        <f t="shared" si="9"/>
        <v>588.66136248763723</v>
      </c>
      <c r="Q100" s="178" t="str">
        <f>IFERROR((VLOOKUP(A100,GM_Table,8,FALSE)-SUMIFS(D:D,A:A,A100,B:B,B100,C:C,C100)),"")</f>
        <v/>
      </c>
      <c r="R100" s="178" t="str">
        <f>IFERROR(CONCATENATE(VLOOKUP(A100,GM_Table,12,FALSE)," ",(VLOOKUP(A100,GM_Table,13,FALSE))),"")</f>
        <v/>
      </c>
      <c r="T100" s="203">
        <v>621.4364272183908</v>
      </c>
      <c r="U100" s="203">
        <v>0</v>
      </c>
      <c r="V100" s="204" t="s">
        <v>2597</v>
      </c>
      <c r="W100" s="203">
        <v>554.85395287356323</v>
      </c>
      <c r="X100" s="205">
        <v>-10.714285714285712</v>
      </c>
      <c r="Y100" s="204" t="s">
        <v>2597</v>
      </c>
      <c r="Z100" s="204" t="s">
        <v>2597</v>
      </c>
      <c r="AA100" s="204" t="s">
        <v>2597</v>
      </c>
      <c r="AB100" s="204" t="s">
        <v>2597</v>
      </c>
      <c r="AC100" s="204" t="s">
        <v>2597</v>
      </c>
    </row>
    <row r="101" spans="1:29" ht="15">
      <c r="A101" s="182" t="s">
        <v>1058</v>
      </c>
      <c r="B101" s="182" t="s">
        <v>1830</v>
      </c>
      <c r="C101" s="182"/>
      <c r="D101" s="183">
        <v>1.0304</v>
      </c>
      <c r="E101" s="183">
        <v>512.9277369869011</v>
      </c>
      <c r="F101" s="183">
        <v>638.71685096172041</v>
      </c>
      <c r="G101" s="184">
        <v>0</v>
      </c>
      <c r="H101" s="184">
        <v>0</v>
      </c>
      <c r="I101" s="184">
        <v>0</v>
      </c>
      <c r="J101" s="177" t="b">
        <f>IF(ISBLANK(CertifiedCrop[[#This Row],[1. Identifiant interne d’exploitation agricole*]]),"",IF(ISERROR(MATCH(CertifiedCrop[[#This Row],[1. Identifiant interne d’exploitation agricole*]],GroupMember[1. Identifiant interne d’exploitation agricole*],0)),FALSE,TRUE))</f>
        <v>1</v>
      </c>
      <c r="K101" s="177" t="b">
        <f t="array" ref="K101">IF(ISBLANK(CertifiedCrop[[#This Row],[2. Produit agricole certifié*]]),"",IF(ISERROR(MATCH(1,(#REF!=CertifiedCrop[[#This Row],[2. Produit agricole certifié*]])*(#REF!=CertifiedCrop[[#This Row],[3. Variété**]]),0)),FALSE,TRUE))</f>
        <v>0</v>
      </c>
      <c r="L101" s="185" t="str">
        <f t="shared" si="5"/>
        <v/>
      </c>
      <c r="M101" s="186" t="str">
        <f t="shared" si="6"/>
        <v/>
      </c>
      <c r="N101" s="187" t="str">
        <f t="shared" si="7"/>
        <v/>
      </c>
      <c r="O101" s="188">
        <f t="shared" si="8"/>
        <v>497.79477580250494</v>
      </c>
      <c r="P101" s="188">
        <f t="shared" si="9"/>
        <v>619.87272026564483</v>
      </c>
      <c r="Q101" s="178" t="str">
        <f>IFERROR((VLOOKUP(A101,GM_Table,8,FALSE)-SUMIFS(D:D,A:A,A101,B:B,B101,C:C,C101)),"")</f>
        <v/>
      </c>
      <c r="R101" s="178" t="str">
        <f>IFERROR(CONCATENATE(VLOOKUP(A101,GM_Table,12,FALSE)," ",(VLOOKUP(A101,GM_Table,13,FALSE))),"")</f>
        <v/>
      </c>
      <c r="T101" s="203">
        <v>619.87272026564483</v>
      </c>
      <c r="U101" s="203">
        <v>0</v>
      </c>
      <c r="V101" s="204" t="s">
        <v>2597</v>
      </c>
      <c r="W101" s="203">
        <v>553.45778595146862</v>
      </c>
      <c r="X101" s="205">
        <v>-10.714285714285712</v>
      </c>
      <c r="Y101" s="204" t="s">
        <v>2597</v>
      </c>
      <c r="Z101" s="204" t="s">
        <v>2597</v>
      </c>
      <c r="AA101" s="204" t="s">
        <v>2597</v>
      </c>
      <c r="AB101" s="204" t="s">
        <v>2597</v>
      </c>
      <c r="AC101" s="204" t="s">
        <v>2597</v>
      </c>
    </row>
    <row r="102" spans="1:29" ht="15">
      <c r="A102" s="182" t="s">
        <v>1061</v>
      </c>
      <c r="B102" s="182" t="s">
        <v>1830</v>
      </c>
      <c r="C102" s="182"/>
      <c r="D102" s="183">
        <v>1.6722999999999999</v>
      </c>
      <c r="E102" s="183">
        <v>832.613230094713</v>
      </c>
      <c r="F102" s="183">
        <v>1037.4438326574161</v>
      </c>
      <c r="G102" s="184">
        <v>0</v>
      </c>
      <c r="H102" s="184">
        <v>0</v>
      </c>
      <c r="I102" s="184">
        <v>0</v>
      </c>
      <c r="J102" s="177" t="b">
        <f>IF(ISBLANK(CertifiedCrop[[#This Row],[1. Identifiant interne d’exploitation agricole*]]),"",IF(ISERROR(MATCH(CertifiedCrop[[#This Row],[1. Identifiant interne d’exploitation agricole*]],GroupMember[1. Identifiant interne d’exploitation agricole*],0)),FALSE,TRUE))</f>
        <v>1</v>
      </c>
      <c r="K102" s="177" t="b">
        <f t="array" ref="K102">IF(ISBLANK(CertifiedCrop[[#This Row],[2. Produit agricole certifié*]]),"",IF(ISERROR(MATCH(1,(#REF!=CertifiedCrop[[#This Row],[2. Produit agricole certifié*]])*(#REF!=CertifiedCrop[[#This Row],[3. Variété**]]),0)),FALSE,TRUE))</f>
        <v>0</v>
      </c>
      <c r="L102" s="185" t="str">
        <f t="shared" si="5"/>
        <v/>
      </c>
      <c r="M102" s="186" t="str">
        <f t="shared" si="6"/>
        <v/>
      </c>
      <c r="N102" s="187" t="str">
        <f t="shared" si="7"/>
        <v/>
      </c>
      <c r="O102" s="188">
        <f t="shared" si="8"/>
        <v>497.88508646457757</v>
      </c>
      <c r="P102" s="188">
        <f t="shared" si="9"/>
        <v>620.36945085057482</v>
      </c>
      <c r="Q102" s="178" t="str">
        <f>IFERROR((VLOOKUP(A102,GM_Table,8,FALSE)-SUMIFS(D:D,A:A,A102,B:B,B102,C:C,C102)),"")</f>
        <v/>
      </c>
      <c r="R102" s="178" t="str">
        <f>IFERROR(CONCATENATE(VLOOKUP(A102,GM_Table,12,FALSE)," ",(VLOOKUP(A102,GM_Table,13,FALSE))),"")</f>
        <v/>
      </c>
      <c r="T102" s="203">
        <v>620.36945085057482</v>
      </c>
      <c r="U102" s="203">
        <v>0</v>
      </c>
      <c r="V102" s="204" t="s">
        <v>2597</v>
      </c>
      <c r="W102" s="203">
        <v>553.90129540229884</v>
      </c>
      <c r="X102" s="205">
        <v>-10.714285714285731</v>
      </c>
      <c r="Y102" s="204" t="s">
        <v>2597</v>
      </c>
      <c r="Z102" s="204" t="s">
        <v>2597</v>
      </c>
      <c r="AA102" s="204" t="s">
        <v>2597</v>
      </c>
      <c r="AB102" s="204" t="s">
        <v>2597</v>
      </c>
      <c r="AC102" s="204" t="s">
        <v>2597</v>
      </c>
    </row>
    <row r="103" spans="1:29" ht="15">
      <c r="A103" s="182" t="s">
        <v>1063</v>
      </c>
      <c r="B103" s="182" t="s">
        <v>1830</v>
      </c>
      <c r="C103" s="182"/>
      <c r="D103" s="183">
        <v>3.2275999999999998</v>
      </c>
      <c r="E103" s="183">
        <v>1607.0057039015142</v>
      </c>
      <c r="F103" s="183">
        <v>1806.1890493926201</v>
      </c>
      <c r="G103" s="184">
        <v>0</v>
      </c>
      <c r="H103" s="184">
        <v>0</v>
      </c>
      <c r="I103" s="184">
        <v>0</v>
      </c>
      <c r="J103" s="177" t="b">
        <f>IF(ISBLANK(CertifiedCrop[[#This Row],[1. Identifiant interne d’exploitation agricole*]]),"",IF(ISERROR(MATCH(CertifiedCrop[[#This Row],[1. Identifiant interne d’exploitation agricole*]],GroupMember[1. Identifiant interne d’exploitation agricole*],0)),FALSE,TRUE))</f>
        <v>1</v>
      </c>
      <c r="K103" s="177" t="b">
        <f t="array" ref="K103">IF(ISBLANK(CertifiedCrop[[#This Row],[2. Produit agricole certifié*]]),"",IF(ISERROR(MATCH(1,(#REF!=CertifiedCrop[[#This Row],[2. Produit agricole certifié*]])*(#REF!=CertifiedCrop[[#This Row],[3. Variété**]]),0)),FALSE,TRUE))</f>
        <v>0</v>
      </c>
      <c r="L103" s="185" t="str">
        <f t="shared" si="5"/>
        <v/>
      </c>
      <c r="M103" s="186" t="str">
        <f t="shared" si="6"/>
        <v/>
      </c>
      <c r="N103" s="187" t="str">
        <f t="shared" si="7"/>
        <v/>
      </c>
      <c r="O103" s="188">
        <f t="shared" si="8"/>
        <v>497.89493862359473</v>
      </c>
      <c r="P103" s="188">
        <f t="shared" si="9"/>
        <v>559.60746356197183</v>
      </c>
      <c r="Q103" s="178" t="str">
        <f>IFERROR((VLOOKUP(A103,GM_Table,8,FALSE)-SUMIFS(D:D,A:A,A103,B:B,B103,C:C,C103)),"")</f>
        <v/>
      </c>
      <c r="R103" s="178" t="str">
        <f>IFERROR(CONCATENATE(VLOOKUP(A103,GM_Table,12,FALSE)," ",(VLOOKUP(A103,GM_Table,13,FALSE))),"")</f>
        <v/>
      </c>
      <c r="T103" s="203">
        <v>621.57301071775237</v>
      </c>
      <c r="U103" s="203">
        <v>0</v>
      </c>
      <c r="V103" s="204" t="s">
        <v>2597</v>
      </c>
      <c r="W103" s="203">
        <v>554.97590242656463</v>
      </c>
      <c r="X103" s="205">
        <v>-10.714285714285712</v>
      </c>
      <c r="Y103" s="204" t="s">
        <v>2597</v>
      </c>
      <c r="Z103" s="204" t="s">
        <v>2597</v>
      </c>
      <c r="AA103" s="204" t="s">
        <v>2597</v>
      </c>
      <c r="AB103" s="204" t="s">
        <v>2597</v>
      </c>
      <c r="AC103" s="204" t="s">
        <v>2597</v>
      </c>
    </row>
    <row r="104" spans="1:29" ht="15">
      <c r="A104" s="182" t="s">
        <v>1067</v>
      </c>
      <c r="B104" s="182" t="s">
        <v>1830</v>
      </c>
      <c r="C104" s="182"/>
      <c r="D104" s="183">
        <v>1.6218999999999999</v>
      </c>
      <c r="E104" s="183">
        <v>807.84296509045362</v>
      </c>
      <c r="F104" s="183">
        <v>1006.1139554008827</v>
      </c>
      <c r="G104" s="184">
        <v>0</v>
      </c>
      <c r="H104" s="184">
        <v>0</v>
      </c>
      <c r="I104" s="184">
        <v>0</v>
      </c>
      <c r="J104" s="177" t="b">
        <f>IF(ISBLANK(CertifiedCrop[[#This Row],[1. Identifiant interne d’exploitation agricole*]]),"",IF(ISERROR(MATCH(CertifiedCrop[[#This Row],[1. Identifiant interne d’exploitation agricole*]],GroupMember[1. Identifiant interne d’exploitation agricole*],0)),FALSE,TRUE))</f>
        <v>1</v>
      </c>
      <c r="K104" s="177" t="b">
        <f t="array" ref="K104">IF(ISBLANK(CertifiedCrop[[#This Row],[2. Produit agricole certifié*]]),"",IF(ISERROR(MATCH(1,(#REF!=CertifiedCrop[[#This Row],[2. Produit agricole certifié*]])*(#REF!=CertifiedCrop[[#This Row],[3. Variété**]]),0)),FALSE,TRUE))</f>
        <v>0</v>
      </c>
      <c r="L104" s="185" t="str">
        <f t="shared" si="5"/>
        <v/>
      </c>
      <c r="M104" s="186" t="str">
        <f t="shared" si="6"/>
        <v/>
      </c>
      <c r="N104" s="187" t="str">
        <f t="shared" si="7"/>
        <v/>
      </c>
      <c r="O104" s="188">
        <f t="shared" si="8"/>
        <v>498.08432399682698</v>
      </c>
      <c r="P104" s="188">
        <f t="shared" si="9"/>
        <v>620.33044910344825</v>
      </c>
      <c r="Q104" s="178" t="str">
        <f>IFERROR((VLOOKUP(A104,GM_Table,8,FALSE)-SUMIFS(D:D,A:A,A104,B:B,B104,C:C,C104)),"")</f>
        <v/>
      </c>
      <c r="R104" s="178" t="str">
        <f>IFERROR(CONCATENATE(VLOOKUP(A104,GM_Table,12,FALSE)," ",(VLOOKUP(A104,GM_Table,13,FALSE))),"")</f>
        <v/>
      </c>
      <c r="T104" s="203">
        <v>620.33044910344825</v>
      </c>
      <c r="U104" s="203">
        <v>0</v>
      </c>
      <c r="V104" s="204" t="s">
        <v>2597</v>
      </c>
      <c r="W104" s="203">
        <v>553.86647241379308</v>
      </c>
      <c r="X104" s="205">
        <v>-10.714285714285714</v>
      </c>
      <c r="Y104" s="204" t="s">
        <v>2597</v>
      </c>
      <c r="Z104" s="204" t="s">
        <v>2597</v>
      </c>
      <c r="AA104" s="204" t="s">
        <v>2597</v>
      </c>
      <c r="AB104" s="204" t="s">
        <v>2597</v>
      </c>
      <c r="AC104" s="204" t="s">
        <v>2597</v>
      </c>
    </row>
    <row r="105" spans="1:29" ht="15">
      <c r="A105" s="182" t="s">
        <v>1070</v>
      </c>
      <c r="B105" s="182" t="s">
        <v>1830</v>
      </c>
      <c r="C105" s="182"/>
      <c r="D105" s="183">
        <v>3.1156999999999999</v>
      </c>
      <c r="E105" s="183">
        <v>1552.3031489528532</v>
      </c>
      <c r="F105" s="183">
        <v>1736.36523116989</v>
      </c>
      <c r="G105" s="184">
        <v>0</v>
      </c>
      <c r="H105" s="184">
        <v>0</v>
      </c>
      <c r="I105" s="184">
        <v>0</v>
      </c>
      <c r="J105" s="177" t="b">
        <f>IF(ISBLANK(CertifiedCrop[[#This Row],[1. Identifiant interne d’exploitation agricole*]]),"",IF(ISERROR(MATCH(CertifiedCrop[[#This Row],[1. Identifiant interne d’exploitation agricole*]],GroupMember[1. Identifiant interne d’exploitation agricole*],0)),FALSE,TRUE))</f>
        <v>1</v>
      </c>
      <c r="K105" s="177" t="b">
        <f t="array" ref="K105">IF(ISBLANK(CertifiedCrop[[#This Row],[2. Produit agricole certifié*]]),"",IF(ISERROR(MATCH(1,(#REF!=CertifiedCrop[[#This Row],[2. Produit agricole certifié*]])*(#REF!=CertifiedCrop[[#This Row],[3. Variété**]]),0)),FALSE,TRUE))</f>
        <v>0</v>
      </c>
      <c r="L105" s="185" t="str">
        <f t="shared" si="5"/>
        <v/>
      </c>
      <c r="M105" s="186" t="str">
        <f t="shared" si="6"/>
        <v/>
      </c>
      <c r="N105" s="187" t="str">
        <f t="shared" si="7"/>
        <v/>
      </c>
      <c r="O105" s="188">
        <f t="shared" si="8"/>
        <v>498.21970952044592</v>
      </c>
      <c r="P105" s="188">
        <f t="shared" si="9"/>
        <v>557.29538504024458</v>
      </c>
      <c r="Q105" s="178" t="str">
        <f>IFERROR((VLOOKUP(A105,GM_Table,8,FALSE)-SUMIFS(D:D,A:A,A105,B:B,B105,C:C,C105)),"")</f>
        <v/>
      </c>
      <c r="R105" s="178" t="str">
        <f>IFERROR(CONCATENATE(VLOOKUP(A105,GM_Table,12,FALSE)," ",(VLOOKUP(A105,GM_Table,13,FALSE))),"")</f>
        <v/>
      </c>
      <c r="T105" s="203">
        <v>621.48641755300127</v>
      </c>
      <c r="U105" s="203">
        <v>0</v>
      </c>
      <c r="V105" s="204" t="s">
        <v>2597</v>
      </c>
      <c r="W105" s="203">
        <v>554.89858710089402</v>
      </c>
      <c r="X105" s="205">
        <v>-10.714285714285712</v>
      </c>
      <c r="Y105" s="204" t="s">
        <v>2597</v>
      </c>
      <c r="Z105" s="204" t="s">
        <v>2597</v>
      </c>
      <c r="AA105" s="204" t="s">
        <v>2597</v>
      </c>
      <c r="AB105" s="204" t="s">
        <v>2597</v>
      </c>
      <c r="AC105" s="204" t="s">
        <v>2597</v>
      </c>
    </row>
    <row r="106" spans="1:29" ht="15">
      <c r="A106" s="182" t="s">
        <v>1073</v>
      </c>
      <c r="B106" s="182" t="s">
        <v>1830</v>
      </c>
      <c r="C106" s="182"/>
      <c r="D106" s="183">
        <v>3.5859000000000001</v>
      </c>
      <c r="E106" s="183">
        <v>1788.5633119716226</v>
      </c>
      <c r="F106" s="183">
        <v>1929.8929157912601</v>
      </c>
      <c r="G106" s="184">
        <v>0</v>
      </c>
      <c r="H106" s="184">
        <v>0</v>
      </c>
      <c r="I106" s="184">
        <v>0</v>
      </c>
      <c r="J106" s="177" t="b">
        <f>IF(ISBLANK(CertifiedCrop[[#This Row],[1. Identifiant interne d’exploitation agricole*]]),"",IF(ISERROR(MATCH(CertifiedCrop[[#This Row],[1. Identifiant interne d’exploitation agricole*]],GroupMember[1. Identifiant interne d’exploitation agricole*],0)),FALSE,TRUE))</f>
        <v>1</v>
      </c>
      <c r="K106" s="177" t="b">
        <f t="array" ref="K106">IF(ISBLANK(CertifiedCrop[[#This Row],[2. Produit agricole certifié*]]),"",IF(ISERROR(MATCH(1,(#REF!=CertifiedCrop[[#This Row],[2. Produit agricole certifié*]])*(#REF!=CertifiedCrop[[#This Row],[3. Variété**]]),0)),FALSE,TRUE))</f>
        <v>0</v>
      </c>
      <c r="L106" s="185" t="str">
        <f t="shared" si="5"/>
        <v/>
      </c>
      <c r="M106" s="186" t="str">
        <f t="shared" si="6"/>
        <v/>
      </c>
      <c r="N106" s="187" t="str">
        <f t="shared" si="7"/>
        <v/>
      </c>
      <c r="O106" s="188">
        <f t="shared" si="8"/>
        <v>498.77668422756426</v>
      </c>
      <c r="P106" s="188">
        <f t="shared" si="9"/>
        <v>538.18927348539</v>
      </c>
      <c r="Q106" s="178" t="str">
        <f>IFERROR((VLOOKUP(A106,GM_Table,8,FALSE)-SUMIFS(D:D,A:A,A106,B:B,B106,C:C,C106)),"")</f>
        <v/>
      </c>
      <c r="R106" s="178" t="str">
        <f>IFERROR(CONCATENATE(VLOOKUP(A106,GM_Table,12,FALSE)," ",(VLOOKUP(A106,GM_Table,13,FALSE))),"")</f>
        <v/>
      </c>
      <c r="T106" s="203">
        <v>621.85027909067696</v>
      </c>
      <c r="U106" s="203">
        <v>0</v>
      </c>
      <c r="V106" s="204" t="s">
        <v>2597</v>
      </c>
      <c r="W106" s="203">
        <v>555.2234634738187</v>
      </c>
      <c r="X106" s="205">
        <v>-10.714285714285717</v>
      </c>
      <c r="Y106" s="204" t="s">
        <v>2597</v>
      </c>
      <c r="Z106" s="204" t="s">
        <v>2597</v>
      </c>
      <c r="AA106" s="204" t="s">
        <v>2597</v>
      </c>
      <c r="AB106" s="204" t="s">
        <v>2597</v>
      </c>
      <c r="AC106" s="204" t="s">
        <v>2597</v>
      </c>
    </row>
    <row r="107" spans="1:29" ht="15">
      <c r="A107" s="182" t="s">
        <v>1076</v>
      </c>
      <c r="B107" s="182" t="s">
        <v>1830</v>
      </c>
      <c r="C107" s="182"/>
      <c r="D107" s="183">
        <v>0.73419999999999996</v>
      </c>
      <c r="E107" s="183">
        <v>366.28555934341517</v>
      </c>
      <c r="F107" s="183">
        <v>398.12662293469833</v>
      </c>
      <c r="G107" s="184">
        <v>0</v>
      </c>
      <c r="H107" s="184">
        <v>0</v>
      </c>
      <c r="I107" s="184">
        <v>0</v>
      </c>
      <c r="J107" s="177" t="b">
        <f>IF(ISBLANK(CertifiedCrop[[#This Row],[1. Identifiant interne d’exploitation agricole*]]),"",IF(ISERROR(MATCH(CertifiedCrop[[#This Row],[1. Identifiant interne d’exploitation agricole*]],GroupMember[1. Identifiant interne d’exploitation agricole*],0)),FALSE,TRUE))</f>
        <v>1</v>
      </c>
      <c r="K107" s="177" t="b">
        <f t="array" ref="K107">IF(ISBLANK(CertifiedCrop[[#This Row],[2. Produit agricole certifié*]]),"",IF(ISERROR(MATCH(1,(#REF!=CertifiedCrop[[#This Row],[2. Produit agricole certifié*]])*(#REF!=CertifiedCrop[[#This Row],[3. Variété**]]),0)),FALSE,TRUE))</f>
        <v>0</v>
      </c>
      <c r="L107" s="185" t="str">
        <f t="shared" si="5"/>
        <v/>
      </c>
      <c r="M107" s="186" t="str">
        <f t="shared" si="6"/>
        <v/>
      </c>
      <c r="N107" s="187" t="str">
        <f t="shared" si="7"/>
        <v/>
      </c>
      <c r="O107" s="188">
        <f t="shared" si="8"/>
        <v>498.89071008364914</v>
      </c>
      <c r="P107" s="188">
        <f t="shared" si="9"/>
        <v>542.259088715198</v>
      </c>
      <c r="Q107" s="178" t="str">
        <f>IFERROR((VLOOKUP(A107,GM_Table,8,FALSE)-SUMIFS(D:D,A:A,A107,B:B,B107,C:C,C107)),"")</f>
        <v/>
      </c>
      <c r="R107" s="178" t="str">
        <f>IFERROR(CONCATENATE(VLOOKUP(A107,GM_Table,12,FALSE)," ",(VLOOKUP(A107,GM_Table,13,FALSE))),"")</f>
        <v/>
      </c>
      <c r="T107" s="203">
        <v>542.259088715198</v>
      </c>
      <c r="U107" s="203">
        <v>0</v>
      </c>
      <c r="V107" s="204" t="s">
        <v>2597</v>
      </c>
      <c r="W107" s="203">
        <v>484.15990063856964</v>
      </c>
      <c r="X107" s="205">
        <v>-10.714285714285717</v>
      </c>
      <c r="Y107" s="204" t="s">
        <v>2597</v>
      </c>
      <c r="Z107" s="204" t="s">
        <v>2597</v>
      </c>
      <c r="AA107" s="204" t="s">
        <v>2597</v>
      </c>
      <c r="AB107" s="204" t="s">
        <v>2597</v>
      </c>
      <c r="AC107" s="204" t="s">
        <v>2597</v>
      </c>
    </row>
    <row r="108" spans="1:29" ht="15">
      <c r="A108" s="182" t="s">
        <v>1079</v>
      </c>
      <c r="B108" s="182" t="s">
        <v>1830</v>
      </c>
      <c r="C108" s="182"/>
      <c r="D108" s="183">
        <v>4.6910999999999996</v>
      </c>
      <c r="E108" s="183">
        <v>2340.8607423958192</v>
      </c>
      <c r="F108" s="183">
        <v>2521.1739197033498</v>
      </c>
      <c r="G108" s="184">
        <v>0</v>
      </c>
      <c r="H108" s="184">
        <v>0</v>
      </c>
      <c r="I108" s="184">
        <v>0</v>
      </c>
      <c r="J108" s="177" t="b">
        <f>IF(ISBLANK(CertifiedCrop[[#This Row],[1. Identifiant interne d’exploitation agricole*]]),"",IF(ISERROR(MATCH(CertifiedCrop[[#This Row],[1. Identifiant interne d’exploitation agricole*]],GroupMember[1. Identifiant interne d’exploitation agricole*],0)),FALSE,TRUE))</f>
        <v>1</v>
      </c>
      <c r="K108" s="177" t="b">
        <f t="array" ref="K108">IF(ISBLANK(CertifiedCrop[[#This Row],[2. Produit agricole certifié*]]),"",IF(ISERROR(MATCH(1,(#REF!=CertifiedCrop[[#This Row],[2. Produit agricole certifié*]])*(#REF!=CertifiedCrop[[#This Row],[3. Variété**]]),0)),FALSE,TRUE))</f>
        <v>0</v>
      </c>
      <c r="L108" s="185" t="str">
        <f t="shared" si="5"/>
        <v/>
      </c>
      <c r="M108" s="186" t="str">
        <f t="shared" si="6"/>
        <v/>
      </c>
      <c r="N108" s="187" t="str">
        <f t="shared" si="7"/>
        <v/>
      </c>
      <c r="O108" s="188">
        <f t="shared" si="8"/>
        <v>499.000392742815</v>
      </c>
      <c r="P108" s="188">
        <f t="shared" si="9"/>
        <v>537.43768406202173</v>
      </c>
      <c r="Q108" s="178" t="str">
        <f>IFERROR((VLOOKUP(A108,GM_Table,8,FALSE)-SUMIFS(D:D,A:A,A108,B:B,B108,C:C,C108)),"")</f>
        <v/>
      </c>
      <c r="R108" s="178" t="str">
        <f>IFERROR(CONCATENATE(VLOOKUP(A108,GM_Table,12,FALSE)," ",(VLOOKUP(A108,GM_Table,13,FALSE))),"")</f>
        <v/>
      </c>
      <c r="T108" s="203">
        <v>622.70553168837807</v>
      </c>
      <c r="U108" s="203">
        <v>0</v>
      </c>
      <c r="V108" s="204" t="s">
        <v>2597</v>
      </c>
      <c r="W108" s="203">
        <v>555.98708186462329</v>
      </c>
      <c r="X108" s="205">
        <v>-10.714285714285712</v>
      </c>
      <c r="Y108" s="204" t="s">
        <v>2597</v>
      </c>
      <c r="Z108" s="204" t="s">
        <v>2597</v>
      </c>
      <c r="AA108" s="204" t="s">
        <v>2597</v>
      </c>
      <c r="AB108" s="204" t="s">
        <v>2597</v>
      </c>
      <c r="AC108" s="204" t="s">
        <v>2597</v>
      </c>
    </row>
    <row r="109" spans="1:29" ht="15">
      <c r="A109" s="182" t="s">
        <v>1082</v>
      </c>
      <c r="B109" s="182" t="s">
        <v>1830</v>
      </c>
      <c r="C109" s="182"/>
      <c r="D109" s="183">
        <v>5.1916000000000002</v>
      </c>
      <c r="E109" s="183">
        <v>2591.3023355210448</v>
      </c>
      <c r="F109" s="183">
        <v>2834.84879180398</v>
      </c>
      <c r="G109" s="184">
        <v>0</v>
      </c>
      <c r="H109" s="184">
        <v>0</v>
      </c>
      <c r="I109" s="184">
        <v>0</v>
      </c>
      <c r="J109" s="177" t="b">
        <f>IF(ISBLANK(CertifiedCrop[[#This Row],[1. Identifiant interne d’exploitation agricole*]]),"",IF(ISERROR(MATCH(CertifiedCrop[[#This Row],[1. Identifiant interne d’exploitation agricole*]],GroupMember[1. Identifiant interne d’exploitation agricole*],0)),FALSE,TRUE))</f>
        <v>1</v>
      </c>
      <c r="K109" s="177" t="b">
        <f t="array" ref="K109">IF(ISBLANK(CertifiedCrop[[#This Row],[2. Produit agricole certifié*]]),"",IF(ISERROR(MATCH(1,(#REF!=CertifiedCrop[[#This Row],[2. Produit agricole certifié*]])*(#REF!=CertifiedCrop[[#This Row],[3. Variété**]]),0)),FALSE,TRUE))</f>
        <v>0</v>
      </c>
      <c r="L109" s="185" t="str">
        <f t="shared" si="5"/>
        <v/>
      </c>
      <c r="M109" s="186" t="str">
        <f t="shared" si="6"/>
        <v/>
      </c>
      <c r="N109" s="187" t="str">
        <f t="shared" si="7"/>
        <v/>
      </c>
      <c r="O109" s="188">
        <f t="shared" si="8"/>
        <v>499.13366505914257</v>
      </c>
      <c r="P109" s="188">
        <f t="shared" si="9"/>
        <v>546.04530237383074</v>
      </c>
      <c r="Q109" s="178" t="str">
        <f>IFERROR((VLOOKUP(A109,GM_Table,8,FALSE)-SUMIFS(D:D,A:A,A109,B:B,B109,C:C,C109)),"")</f>
        <v/>
      </c>
      <c r="R109" s="178" t="str">
        <f>IFERROR(CONCATENATE(VLOOKUP(A109,GM_Table,12,FALSE)," ",(VLOOKUP(A109,GM_Table,13,FALSE))),"")</f>
        <v/>
      </c>
      <c r="T109" s="203">
        <v>623.09284070498097</v>
      </c>
      <c r="U109" s="203">
        <v>0</v>
      </c>
      <c r="V109" s="204" t="s">
        <v>2597</v>
      </c>
      <c r="W109" s="203">
        <v>556.33289348659014</v>
      </c>
      <c r="X109" s="205">
        <v>-10.714285714285717</v>
      </c>
      <c r="Y109" s="204" t="s">
        <v>2597</v>
      </c>
      <c r="Z109" s="204" t="s">
        <v>2597</v>
      </c>
      <c r="AA109" s="204" t="s">
        <v>2597</v>
      </c>
      <c r="AB109" s="204" t="s">
        <v>2597</v>
      </c>
      <c r="AC109" s="204" t="s">
        <v>2597</v>
      </c>
    </row>
    <row r="110" spans="1:29" ht="15">
      <c r="A110" s="182" t="s">
        <v>1085</v>
      </c>
      <c r="B110" s="182" t="s">
        <v>1830</v>
      </c>
      <c r="C110" s="182"/>
      <c r="D110" s="183">
        <v>1.8348</v>
      </c>
      <c r="E110" s="183">
        <v>920.09173952567687</v>
      </c>
      <c r="F110" s="183">
        <v>1138.4845939348108</v>
      </c>
      <c r="G110" s="184">
        <v>0</v>
      </c>
      <c r="H110" s="184">
        <v>0</v>
      </c>
      <c r="I110" s="184">
        <v>0</v>
      </c>
      <c r="J110" s="177" t="b">
        <f>IF(ISBLANK(CertifiedCrop[[#This Row],[1. Identifiant interne d’exploitation agricole*]]),"",IF(ISERROR(MATCH(CertifiedCrop[[#This Row],[1. Identifiant interne d’exploitation agricole*]],GroupMember[1. Identifiant interne d’exploitation agricole*],0)),FALSE,TRUE))</f>
        <v>1</v>
      </c>
      <c r="K110" s="177" t="b">
        <f t="array" ref="K110">IF(ISBLANK(CertifiedCrop[[#This Row],[2. Produit agricole certifié*]]),"",IF(ISERROR(MATCH(1,(#REF!=CertifiedCrop[[#This Row],[2. Produit agricole certifié*]])*(#REF!=CertifiedCrop[[#This Row],[3. Variété**]]),0)),FALSE,TRUE))</f>
        <v>0</v>
      </c>
      <c r="L110" s="185" t="str">
        <f t="shared" si="5"/>
        <v/>
      </c>
      <c r="M110" s="186" t="str">
        <f t="shared" si="6"/>
        <v/>
      </c>
      <c r="N110" s="187" t="str">
        <f t="shared" si="7"/>
        <v/>
      </c>
      <c r="O110" s="188">
        <f t="shared" si="8"/>
        <v>501.4670479211232</v>
      </c>
      <c r="P110" s="188">
        <f t="shared" si="9"/>
        <v>620.49520053128992</v>
      </c>
      <c r="Q110" s="178" t="str">
        <f>IFERROR((VLOOKUP(A110,GM_Table,8,FALSE)-SUMIFS(D:D,A:A,A110,B:B,B110,C:C,C110)),"")</f>
        <v/>
      </c>
      <c r="R110" s="178" t="str">
        <f>IFERROR(CONCATENATE(VLOOKUP(A110,GM_Table,12,FALSE)," ",(VLOOKUP(A110,GM_Table,13,FALSE))),"")</f>
        <v/>
      </c>
      <c r="T110" s="203">
        <v>620.49520053128992</v>
      </c>
      <c r="U110" s="203">
        <v>0</v>
      </c>
      <c r="V110" s="204" t="s">
        <v>2597</v>
      </c>
      <c r="W110" s="203">
        <v>554.01357190293743</v>
      </c>
      <c r="X110" s="205">
        <v>-10.714285714285715</v>
      </c>
      <c r="Y110" s="204" t="s">
        <v>2597</v>
      </c>
      <c r="Z110" s="204" t="s">
        <v>2597</v>
      </c>
      <c r="AA110" s="204" t="s">
        <v>2597</v>
      </c>
      <c r="AB110" s="204" t="s">
        <v>2597</v>
      </c>
      <c r="AC110" s="204" t="s">
        <v>2597</v>
      </c>
    </row>
    <row r="111" spans="1:29" ht="15">
      <c r="A111" s="182" t="s">
        <v>1088</v>
      </c>
      <c r="B111" s="182" t="s">
        <v>1830</v>
      </c>
      <c r="C111" s="182"/>
      <c r="D111" s="183">
        <v>4.2732000000000001</v>
      </c>
      <c r="E111" s="183">
        <v>2143.6383018362908</v>
      </c>
      <c r="F111" s="183">
        <v>2459.56337005668</v>
      </c>
      <c r="G111" s="184">
        <v>0</v>
      </c>
      <c r="H111" s="184">
        <v>0</v>
      </c>
      <c r="I111" s="184">
        <v>0</v>
      </c>
      <c r="J111" s="177" t="b">
        <f>IF(ISBLANK(CertifiedCrop[[#This Row],[1. Identifiant interne d’exploitation agricole*]]),"",IF(ISERROR(MATCH(CertifiedCrop[[#This Row],[1. Identifiant interne d’exploitation agricole*]],GroupMember[1. Identifiant interne d’exploitation agricole*],0)),FALSE,TRUE))</f>
        <v>1</v>
      </c>
      <c r="K111" s="177" t="b">
        <f t="array" ref="K111">IF(ISBLANK(CertifiedCrop[[#This Row],[2. Produit agricole certifié*]]),"",IF(ISERROR(MATCH(1,(#REF!=CertifiedCrop[[#This Row],[2. Produit agricole certifié*]])*(#REF!=CertifiedCrop[[#This Row],[3. Variété**]]),0)),FALSE,TRUE))</f>
        <v>0</v>
      </c>
      <c r="L111" s="185" t="str">
        <f t="shared" si="5"/>
        <v/>
      </c>
      <c r="M111" s="186" t="str">
        <f t="shared" si="6"/>
        <v/>
      </c>
      <c r="N111" s="187" t="str">
        <f t="shared" si="7"/>
        <v/>
      </c>
      <c r="O111" s="188">
        <f t="shared" si="8"/>
        <v>501.64707990178101</v>
      </c>
      <c r="P111" s="188">
        <f t="shared" si="9"/>
        <v>575.57880980452114</v>
      </c>
      <c r="Q111" s="178" t="str">
        <f>IFERROR((VLOOKUP(A111,GM_Table,8,FALSE)-SUMIFS(D:D,A:A,A111,B:B,B111,C:C,C111)),"")</f>
        <v/>
      </c>
      <c r="R111" s="178" t="str">
        <f>IFERROR(CONCATENATE(VLOOKUP(A111,GM_Table,12,FALSE)," ",(VLOOKUP(A111,GM_Table,13,FALSE))),"")</f>
        <v/>
      </c>
      <c r="T111" s="203">
        <v>622.38214220178804</v>
      </c>
      <c r="U111" s="203">
        <v>0</v>
      </c>
      <c r="V111" s="204" t="s">
        <v>2597</v>
      </c>
      <c r="W111" s="203">
        <v>555.6983412515965</v>
      </c>
      <c r="X111" s="205">
        <v>-10.714285714285708</v>
      </c>
      <c r="Y111" s="204" t="s">
        <v>2597</v>
      </c>
      <c r="Z111" s="204" t="s">
        <v>2597</v>
      </c>
      <c r="AA111" s="204" t="s">
        <v>2597</v>
      </c>
      <c r="AB111" s="204" t="s">
        <v>2597</v>
      </c>
      <c r="AC111" s="204" t="s">
        <v>2597</v>
      </c>
    </row>
    <row r="112" spans="1:29" ht="15">
      <c r="A112" s="182" t="s">
        <v>1091</v>
      </c>
      <c r="B112" s="182" t="s">
        <v>1830</v>
      </c>
      <c r="C112" s="182"/>
      <c r="D112" s="183">
        <v>1.6060000000000001</v>
      </c>
      <c r="E112" s="183">
        <v>805.66137782184819</v>
      </c>
      <c r="F112" s="183">
        <v>996.23094083923377</v>
      </c>
      <c r="G112" s="184">
        <v>0</v>
      </c>
      <c r="H112" s="184">
        <v>0</v>
      </c>
      <c r="I112" s="184">
        <v>0</v>
      </c>
      <c r="J112" s="177" t="b">
        <f>IF(ISBLANK(CertifiedCrop[[#This Row],[1. Identifiant interne d’exploitation agricole*]]),"",IF(ISERROR(MATCH(CertifiedCrop[[#This Row],[1. Identifiant interne d’exploitation agricole*]],GroupMember[1. Identifiant interne d’exploitation agricole*],0)),FALSE,TRUE))</f>
        <v>1</v>
      </c>
      <c r="K112" s="177" t="b">
        <f t="array" ref="K112">IF(ISBLANK(CertifiedCrop[[#This Row],[2. Produit agricole certifié*]]),"",IF(ISERROR(MATCH(1,(#REF!=CertifiedCrop[[#This Row],[2. Produit agricole certifié*]])*(#REF!=CertifiedCrop[[#This Row],[3. Variété**]]),0)),FALSE,TRUE))</f>
        <v>0</v>
      </c>
      <c r="L112" s="185" t="str">
        <f t="shared" si="5"/>
        <v/>
      </c>
      <c r="M112" s="186" t="str">
        <f t="shared" si="6"/>
        <v/>
      </c>
      <c r="N112" s="187" t="str">
        <f t="shared" si="7"/>
        <v/>
      </c>
      <c r="O112" s="188">
        <f t="shared" si="8"/>
        <v>501.65714683801252</v>
      </c>
      <c r="P112" s="188">
        <f t="shared" si="9"/>
        <v>620.31814498084293</v>
      </c>
      <c r="Q112" s="178" t="str">
        <f>IFERROR((VLOOKUP(A112,GM_Table,8,FALSE)-SUMIFS(D:D,A:A,A112,B:B,B112,C:C,C112)),"")</f>
        <v/>
      </c>
      <c r="R112" s="178" t="str">
        <f>IFERROR(CONCATENATE(VLOOKUP(A112,GM_Table,12,FALSE)," ",(VLOOKUP(A112,GM_Table,13,FALSE))),"")</f>
        <v/>
      </c>
      <c r="T112" s="203">
        <v>620.31814498084293</v>
      </c>
      <c r="U112" s="203">
        <v>0</v>
      </c>
      <c r="V112" s="204" t="s">
        <v>2597</v>
      </c>
      <c r="W112" s="203">
        <v>553.85548659003837</v>
      </c>
      <c r="X112" s="205">
        <v>-10.714285714285708</v>
      </c>
      <c r="Y112" s="204" t="s">
        <v>2597</v>
      </c>
      <c r="Z112" s="204" t="s">
        <v>2597</v>
      </c>
      <c r="AA112" s="204" t="s">
        <v>2597</v>
      </c>
      <c r="AB112" s="204" t="s">
        <v>2597</v>
      </c>
      <c r="AC112" s="204" t="s">
        <v>2597</v>
      </c>
    </row>
    <row r="113" spans="1:29" ht="15">
      <c r="A113" s="182" t="s">
        <v>1093</v>
      </c>
      <c r="B113" s="182" t="s">
        <v>1830</v>
      </c>
      <c r="C113" s="182"/>
      <c r="D113" s="183">
        <v>1.6537999999999999</v>
      </c>
      <c r="E113" s="183">
        <v>831.84051084007604</v>
      </c>
      <c r="F113" s="183">
        <v>1025.9433218215643</v>
      </c>
      <c r="G113" s="184">
        <v>0</v>
      </c>
      <c r="H113" s="184">
        <v>0</v>
      </c>
      <c r="I113" s="184">
        <v>0</v>
      </c>
      <c r="J113" s="177" t="b">
        <f>IF(ISBLANK(CertifiedCrop[[#This Row],[1. Identifiant interne d’exploitation agricole*]]),"",IF(ISERROR(MATCH(CertifiedCrop[[#This Row],[1. Identifiant interne d’exploitation agricole*]],GroupMember[1. Identifiant interne d’exploitation agricole*],0)),FALSE,TRUE))</f>
        <v>1</v>
      </c>
      <c r="K113" s="177" t="b">
        <f t="array" ref="K113">IF(ISBLANK(CertifiedCrop[[#This Row],[2. Produit agricole certifié*]]),"",IF(ISERROR(MATCH(1,(#REF!=CertifiedCrop[[#This Row],[2. Produit agricole certifié*]])*(#REF!=CertifiedCrop[[#This Row],[3. Variété**]]),0)),FALSE,TRUE))</f>
        <v>0</v>
      </c>
      <c r="L113" s="185" t="str">
        <f t="shared" si="5"/>
        <v/>
      </c>
      <c r="M113" s="186" t="str">
        <f t="shared" si="6"/>
        <v/>
      </c>
      <c r="N113" s="187" t="str">
        <f t="shared" si="7"/>
        <v/>
      </c>
      <c r="O113" s="188">
        <f t="shared" si="8"/>
        <v>502.98736899266902</v>
      </c>
      <c r="P113" s="188">
        <f t="shared" si="9"/>
        <v>620.35513473307799</v>
      </c>
      <c r="Q113" s="178" t="str">
        <f>IFERROR((VLOOKUP(A113,GM_Table,8,FALSE)-SUMIFS(D:D,A:A,A113,B:B,B113,C:C,C113)),"")</f>
        <v/>
      </c>
      <c r="R113" s="178" t="str">
        <f>IFERROR(CONCATENATE(VLOOKUP(A113,GM_Table,12,FALSE)," ",(VLOOKUP(A113,GM_Table,13,FALSE))),"")</f>
        <v/>
      </c>
      <c r="T113" s="203">
        <v>620.35513473307799</v>
      </c>
      <c r="U113" s="203">
        <v>0</v>
      </c>
      <c r="V113" s="204" t="s">
        <v>2597</v>
      </c>
      <c r="W113" s="203">
        <v>553.88851315453394</v>
      </c>
      <c r="X113" s="205">
        <v>-10.714285714285712</v>
      </c>
      <c r="Y113" s="204" t="s">
        <v>2597</v>
      </c>
      <c r="Z113" s="204" t="s">
        <v>2597</v>
      </c>
      <c r="AA113" s="204" t="s">
        <v>2597</v>
      </c>
      <c r="AB113" s="204" t="s">
        <v>2597</v>
      </c>
      <c r="AC113" s="204" t="s">
        <v>2597</v>
      </c>
    </row>
    <row r="114" spans="1:29" ht="15">
      <c r="A114" s="182" t="s">
        <v>1097</v>
      </c>
      <c r="B114" s="182" t="s">
        <v>1830</v>
      </c>
      <c r="C114" s="182"/>
      <c r="D114" s="183">
        <v>4.5617000000000001</v>
      </c>
      <c r="E114" s="183">
        <v>2295.2147640719691</v>
      </c>
      <c r="F114" s="183">
        <v>2540.1390360750802</v>
      </c>
      <c r="G114" s="184">
        <v>0</v>
      </c>
      <c r="H114" s="184">
        <v>0</v>
      </c>
      <c r="I114" s="184">
        <v>0</v>
      </c>
      <c r="J114" s="177" t="b">
        <f>IF(ISBLANK(CertifiedCrop[[#This Row],[1. Identifiant interne d’exploitation agricole*]]),"",IF(ISERROR(MATCH(CertifiedCrop[[#This Row],[1. Identifiant interne d’exploitation agricole*]],GroupMember[1. Identifiant interne d’exploitation agricole*],0)),FALSE,TRUE))</f>
        <v>1</v>
      </c>
      <c r="K114" s="177" t="b">
        <f t="array" ref="K114">IF(ISBLANK(CertifiedCrop[[#This Row],[2. Produit agricole certifié*]]),"",IF(ISERROR(MATCH(1,(#REF!=CertifiedCrop[[#This Row],[2. Produit agricole certifié*]])*(#REF!=CertifiedCrop[[#This Row],[3. Variété**]]),0)),FALSE,TRUE))</f>
        <v>0</v>
      </c>
      <c r="L114" s="185" t="str">
        <f t="shared" si="5"/>
        <v/>
      </c>
      <c r="M114" s="186" t="str">
        <f t="shared" si="6"/>
        <v/>
      </c>
      <c r="N114" s="187" t="str">
        <f t="shared" si="7"/>
        <v/>
      </c>
      <c r="O114" s="188">
        <f t="shared" si="8"/>
        <v>503.14899359273278</v>
      </c>
      <c r="P114" s="188">
        <f t="shared" si="9"/>
        <v>556.84044020323131</v>
      </c>
      <c r="Q114" s="178" t="str">
        <f>IFERROR((VLOOKUP(A114,GM_Table,8,FALSE)-SUMIFS(D:D,A:A,A114,B:B,B114,C:C,C114)),"")</f>
        <v/>
      </c>
      <c r="R114" s="178" t="str">
        <f>IFERROR(CONCATENATE(VLOOKUP(A114,GM_Table,12,FALSE)," ",(VLOOKUP(A114,GM_Table,13,FALSE))),"")</f>
        <v/>
      </c>
      <c r="T114" s="203">
        <v>622.60539625031925</v>
      </c>
      <c r="U114" s="203">
        <v>0</v>
      </c>
      <c r="V114" s="204" t="s">
        <v>2597</v>
      </c>
      <c r="W114" s="203">
        <v>555.89767522349928</v>
      </c>
      <c r="X114" s="205">
        <v>-10.714285714285722</v>
      </c>
      <c r="Y114" s="204" t="s">
        <v>2597</v>
      </c>
      <c r="Z114" s="204" t="s">
        <v>2597</v>
      </c>
      <c r="AA114" s="204" t="s">
        <v>2597</v>
      </c>
      <c r="AB114" s="204" t="s">
        <v>2597</v>
      </c>
      <c r="AC114" s="204" t="s">
        <v>2597</v>
      </c>
    </row>
    <row r="115" spans="1:29" ht="15">
      <c r="A115" s="182" t="s">
        <v>1101</v>
      </c>
      <c r="B115" s="182" t="s">
        <v>1830</v>
      </c>
      <c r="C115" s="182"/>
      <c r="D115" s="183">
        <v>2.9447999999999999</v>
      </c>
      <c r="E115" s="183">
        <v>1482.3117867055105</v>
      </c>
      <c r="F115" s="183">
        <v>1729.7637526928199</v>
      </c>
      <c r="G115" s="184">
        <v>0</v>
      </c>
      <c r="H115" s="184">
        <v>0</v>
      </c>
      <c r="I115" s="184">
        <v>0</v>
      </c>
      <c r="J115" s="177" t="b">
        <f>IF(ISBLANK(CertifiedCrop[[#This Row],[1. Identifiant interne d’exploitation agricole*]]),"",IF(ISERROR(MATCH(CertifiedCrop[[#This Row],[1. Identifiant interne d’exploitation agricole*]],GroupMember[1. Identifiant interne d’exploitation agricole*],0)),FALSE,TRUE))</f>
        <v>1</v>
      </c>
      <c r="K115" s="177" t="b">
        <f t="array" ref="K115">IF(ISBLANK(CertifiedCrop[[#This Row],[2. Produit agricole certifié*]]),"",IF(ISERROR(MATCH(1,(#REF!=CertifiedCrop[[#This Row],[2. Produit agricole certifié*]])*(#REF!=CertifiedCrop[[#This Row],[3. Variété**]]),0)),FALSE,TRUE))</f>
        <v>0</v>
      </c>
      <c r="L115" s="185" t="str">
        <f t="shared" si="5"/>
        <v/>
      </c>
      <c r="M115" s="186" t="str">
        <f t="shared" si="6"/>
        <v/>
      </c>
      <c r="N115" s="187" t="str">
        <f t="shared" si="7"/>
        <v/>
      </c>
      <c r="O115" s="188">
        <f t="shared" si="8"/>
        <v>503.36586073944261</v>
      </c>
      <c r="P115" s="188">
        <f t="shared" si="9"/>
        <v>587.39600403858321</v>
      </c>
      <c r="Q115" s="178" t="str">
        <f>IFERROR((VLOOKUP(A115,GM_Table,8,FALSE)-SUMIFS(D:D,A:A,A115,B:B,B115,C:C,C115)),"")</f>
        <v/>
      </c>
      <c r="R115" s="178" t="str">
        <f>IFERROR(CONCATENATE(VLOOKUP(A115,GM_Table,12,FALSE)," ",(VLOOKUP(A115,GM_Table,13,FALSE))),"")</f>
        <v/>
      </c>
      <c r="T115" s="203">
        <v>621.35416758109818</v>
      </c>
      <c r="U115" s="203">
        <v>0</v>
      </c>
      <c r="V115" s="204" t="s">
        <v>2597</v>
      </c>
      <c r="W115" s="203">
        <v>554.78050676883765</v>
      </c>
      <c r="X115" s="205">
        <v>-10.714285714285715</v>
      </c>
      <c r="Y115" s="204" t="s">
        <v>2597</v>
      </c>
      <c r="Z115" s="204" t="s">
        <v>2597</v>
      </c>
      <c r="AA115" s="204" t="s">
        <v>2597</v>
      </c>
      <c r="AB115" s="204" t="s">
        <v>2597</v>
      </c>
      <c r="AC115" s="204" t="s">
        <v>2597</v>
      </c>
    </row>
    <row r="116" spans="1:29" ht="15">
      <c r="A116" s="182" t="s">
        <v>1106</v>
      </c>
      <c r="B116" s="182" t="s">
        <v>1830</v>
      </c>
      <c r="C116" s="182"/>
      <c r="D116" s="183">
        <v>2.5310999999999999</v>
      </c>
      <c r="E116" s="183">
        <v>1276.0872091046183</v>
      </c>
      <c r="F116" s="183">
        <v>1321.89922887852</v>
      </c>
      <c r="G116" s="184">
        <v>0</v>
      </c>
      <c r="H116" s="184">
        <v>0</v>
      </c>
      <c r="I116" s="184">
        <v>0</v>
      </c>
      <c r="J116" s="177" t="b">
        <f>IF(ISBLANK(CertifiedCrop[[#This Row],[1. Identifiant interne d’exploitation agricole*]]),"",IF(ISERROR(MATCH(CertifiedCrop[[#This Row],[1. Identifiant interne d’exploitation agricole*]],GroupMember[1. Identifiant interne d’exploitation agricole*],0)),FALSE,TRUE))</f>
        <v>1</v>
      </c>
      <c r="K116" s="177" t="b">
        <f t="array" ref="K116">IF(ISBLANK(CertifiedCrop[[#This Row],[2. Produit agricole certifié*]]),"",IF(ISERROR(MATCH(1,(#REF!=CertifiedCrop[[#This Row],[2. Produit agricole certifié*]])*(#REF!=CertifiedCrop[[#This Row],[3. Variété**]]),0)),FALSE,TRUE))</f>
        <v>0</v>
      </c>
      <c r="L116" s="185" t="str">
        <f t="shared" si="5"/>
        <v/>
      </c>
      <c r="M116" s="186" t="str">
        <f t="shared" si="6"/>
        <v/>
      </c>
      <c r="N116" s="187" t="str">
        <f t="shared" si="7"/>
        <v/>
      </c>
      <c r="O116" s="188">
        <f t="shared" si="8"/>
        <v>504.1630947432414</v>
      </c>
      <c r="P116" s="188">
        <f t="shared" si="9"/>
        <v>522.26274302813795</v>
      </c>
      <c r="Q116" s="178" t="str">
        <f>IFERROR((VLOOKUP(A116,GM_Table,8,FALSE)-SUMIFS(D:D,A:A,A116,B:B,B116,C:C,C116)),"")</f>
        <v/>
      </c>
      <c r="R116" s="178" t="str">
        <f>IFERROR(CONCATENATE(VLOOKUP(A116,GM_Table,12,FALSE)," ",(VLOOKUP(A116,GM_Table,13,FALSE))),"")</f>
        <v/>
      </c>
      <c r="T116" s="203">
        <v>621.0340282401022</v>
      </c>
      <c r="U116" s="203">
        <v>0</v>
      </c>
      <c r="V116" s="204" t="s">
        <v>2597</v>
      </c>
      <c r="W116" s="203">
        <v>554.49466807151987</v>
      </c>
      <c r="X116" s="205">
        <v>-10.714285714285706</v>
      </c>
      <c r="Y116" s="204" t="s">
        <v>2597</v>
      </c>
      <c r="Z116" s="204" t="s">
        <v>2597</v>
      </c>
      <c r="AA116" s="204" t="s">
        <v>2597</v>
      </c>
      <c r="AB116" s="204" t="s">
        <v>2597</v>
      </c>
      <c r="AC116" s="204" t="s">
        <v>2597</v>
      </c>
    </row>
    <row r="117" spans="1:29" ht="15">
      <c r="A117" s="182" t="s">
        <v>1109</v>
      </c>
      <c r="B117" s="182" t="s">
        <v>1830</v>
      </c>
      <c r="C117" s="182"/>
      <c r="D117" s="183">
        <v>2.1053000000000002</v>
      </c>
      <c r="E117" s="183">
        <v>1061.9544039710104</v>
      </c>
      <c r="F117" s="183">
        <v>1306.7692372918173</v>
      </c>
      <c r="G117" s="184">
        <v>0</v>
      </c>
      <c r="H117" s="184">
        <v>0</v>
      </c>
      <c r="I117" s="184">
        <v>0</v>
      </c>
      <c r="J117" s="177" t="b">
        <f>IF(ISBLANK(CertifiedCrop[[#This Row],[1. Identifiant interne d’exploitation agricole*]]),"",IF(ISERROR(MATCH(CertifiedCrop[[#This Row],[1. Identifiant interne d’exploitation agricole*]],GroupMember[1. Identifiant interne d’exploitation agricole*],0)),FALSE,TRUE))</f>
        <v>1</v>
      </c>
      <c r="K117" s="177" t="b">
        <f t="array" ref="K117">IF(ISBLANK(CertifiedCrop[[#This Row],[2. Produit agricole certifié*]]),"",IF(ISERROR(MATCH(1,(#REF!=CertifiedCrop[[#This Row],[2. Produit agricole certifié*]])*(#REF!=CertifiedCrop[[#This Row],[3. Variété**]]),0)),FALSE,TRUE))</f>
        <v>0</v>
      </c>
      <c r="L117" s="185" t="str">
        <f t="shared" si="5"/>
        <v/>
      </c>
      <c r="M117" s="186" t="str">
        <f t="shared" si="6"/>
        <v/>
      </c>
      <c r="N117" s="187" t="str">
        <f t="shared" si="7"/>
        <v/>
      </c>
      <c r="O117" s="188">
        <f t="shared" si="8"/>
        <v>504.41951454472536</v>
      </c>
      <c r="P117" s="188">
        <f t="shared" si="9"/>
        <v>620.70452538441896</v>
      </c>
      <c r="Q117" s="178" t="str">
        <f>IFERROR((VLOOKUP(A117,GM_Table,8,FALSE)-SUMIFS(D:D,A:A,A117,B:B,B117,C:C,C117)),"")</f>
        <v/>
      </c>
      <c r="R117" s="178" t="str">
        <f>IFERROR(CONCATENATE(VLOOKUP(A117,GM_Table,12,FALSE)," ",(VLOOKUP(A117,GM_Table,13,FALSE))),"")</f>
        <v/>
      </c>
      <c r="T117" s="203">
        <v>620.70452538441896</v>
      </c>
      <c r="U117" s="203">
        <v>0</v>
      </c>
      <c r="V117" s="204" t="s">
        <v>2597</v>
      </c>
      <c r="W117" s="203">
        <v>554.20046909323116</v>
      </c>
      <c r="X117" s="205">
        <v>-10.714285714285722</v>
      </c>
      <c r="Y117" s="204" t="s">
        <v>2597</v>
      </c>
      <c r="Z117" s="204" t="s">
        <v>2597</v>
      </c>
      <c r="AA117" s="204" t="s">
        <v>2597</v>
      </c>
      <c r="AB117" s="204" t="s">
        <v>2597</v>
      </c>
      <c r="AC117" s="204" t="s">
        <v>2597</v>
      </c>
    </row>
    <row r="118" spans="1:29" ht="15">
      <c r="A118" s="182" t="s">
        <v>1114</v>
      </c>
      <c r="B118" s="182" t="s">
        <v>1830</v>
      </c>
      <c r="C118" s="182"/>
      <c r="D118" s="183">
        <v>1.6171</v>
      </c>
      <c r="E118" s="183">
        <v>816.02622992271597</v>
      </c>
      <c r="F118" s="183">
        <v>1003.1303626046835</v>
      </c>
      <c r="G118" s="184">
        <v>0</v>
      </c>
      <c r="H118" s="184">
        <v>0</v>
      </c>
      <c r="I118" s="184">
        <v>0</v>
      </c>
      <c r="J118" s="177" t="b">
        <f>IF(ISBLANK(CertifiedCrop[[#This Row],[1. Identifiant interne d’exploitation agricole*]]),"",IF(ISERROR(MATCH(CertifiedCrop[[#This Row],[1. Identifiant interne d’exploitation agricole*]],GroupMember[1. Identifiant interne d’exploitation agricole*],0)),FALSE,TRUE))</f>
        <v>1</v>
      </c>
      <c r="K118" s="177" t="b">
        <f t="array" ref="K118">IF(ISBLANK(CertifiedCrop[[#This Row],[2. Produit agricole certifié*]]),"",IF(ISERROR(MATCH(1,(#REF!=CertifiedCrop[[#This Row],[2. Produit agricole certifié*]])*(#REF!=CertifiedCrop[[#This Row],[3. Variété**]]),0)),FALSE,TRUE))</f>
        <v>0</v>
      </c>
      <c r="L118" s="185" t="str">
        <f t="shared" si="5"/>
        <v/>
      </c>
      <c r="M118" s="186" t="str">
        <f t="shared" si="6"/>
        <v/>
      </c>
      <c r="N118" s="187" t="str">
        <f t="shared" si="7"/>
        <v/>
      </c>
      <c r="O118" s="188">
        <f t="shared" si="8"/>
        <v>504.62323290007788</v>
      </c>
      <c r="P118" s="188">
        <f t="shared" si="9"/>
        <v>620.32673465134098</v>
      </c>
      <c r="Q118" s="178" t="str">
        <f>IFERROR((VLOOKUP(A118,GM_Table,8,FALSE)-SUMIFS(D:D,A:A,A118,B:B,B118,C:C,C118)),"")</f>
        <v/>
      </c>
      <c r="R118" s="178" t="str">
        <f>IFERROR(CONCATENATE(VLOOKUP(A118,GM_Table,12,FALSE)," ",(VLOOKUP(A118,GM_Table,13,FALSE))),"")</f>
        <v/>
      </c>
      <c r="T118" s="203">
        <v>620.32673465134098</v>
      </c>
      <c r="U118" s="203">
        <v>0</v>
      </c>
      <c r="V118" s="204" t="s">
        <v>2597</v>
      </c>
      <c r="W118" s="203">
        <v>553.86315593869733</v>
      </c>
      <c r="X118" s="205">
        <v>-10.714285714285712</v>
      </c>
      <c r="Y118" s="204" t="s">
        <v>2597</v>
      </c>
      <c r="Z118" s="204" t="s">
        <v>2597</v>
      </c>
      <c r="AA118" s="204" t="s">
        <v>2597</v>
      </c>
      <c r="AB118" s="204" t="s">
        <v>2597</v>
      </c>
      <c r="AC118" s="204" t="s">
        <v>2597</v>
      </c>
    </row>
    <row r="119" spans="1:29" ht="15">
      <c r="A119" s="182" t="s">
        <v>1116</v>
      </c>
      <c r="B119" s="182" t="s">
        <v>1830</v>
      </c>
      <c r="C119" s="182"/>
      <c r="D119" s="183">
        <v>1.4787999999999999</v>
      </c>
      <c r="E119" s="183">
        <v>747.14837456612281</v>
      </c>
      <c r="F119" s="183">
        <v>917.18091010559999</v>
      </c>
      <c r="G119" s="184">
        <v>0</v>
      </c>
      <c r="H119" s="184">
        <v>0</v>
      </c>
      <c r="I119" s="184">
        <v>0</v>
      </c>
      <c r="J119" s="177" t="b">
        <f>IF(ISBLANK(CertifiedCrop[[#This Row],[1. Identifiant interne d’exploitation agricole*]]),"",IF(ISERROR(MATCH(CertifiedCrop[[#This Row],[1. Identifiant interne d’exploitation agricole*]],GroupMember[1. Identifiant interne d’exploitation agricole*],0)),FALSE,TRUE))</f>
        <v>1</v>
      </c>
      <c r="K119" s="177" t="b">
        <f t="array" ref="K119">IF(ISBLANK(CertifiedCrop[[#This Row],[2. Produit agricole certifié*]]),"",IF(ISERROR(MATCH(1,(#REF!=CertifiedCrop[[#This Row],[2. Produit agricole certifié*]])*(#REF!=CertifiedCrop[[#This Row],[3. Variété**]]),0)),FALSE,TRUE))</f>
        <v>0</v>
      </c>
      <c r="L119" s="185" t="str">
        <f t="shared" si="5"/>
        <v/>
      </c>
      <c r="M119" s="186" t="str">
        <f t="shared" si="6"/>
        <v/>
      </c>
      <c r="N119" s="187" t="str">
        <f t="shared" si="7"/>
        <v/>
      </c>
      <c r="O119" s="188">
        <f t="shared" si="8"/>
        <v>505.23963657433245</v>
      </c>
      <c r="P119" s="188">
        <f t="shared" si="9"/>
        <v>620.21971200000007</v>
      </c>
      <c r="Q119" s="178" t="str">
        <f>IFERROR((VLOOKUP(A119,GM_Table,8,FALSE)-SUMIFS(D:D,A:A,A119,B:B,B119,C:C,C119)),"")</f>
        <v/>
      </c>
      <c r="R119" s="178" t="str">
        <f>IFERROR(CONCATENATE(VLOOKUP(A119,GM_Table,12,FALSE)," ",(VLOOKUP(A119,GM_Table,13,FALSE))),"")</f>
        <v/>
      </c>
      <c r="T119" s="203">
        <v>620.21971200000007</v>
      </c>
      <c r="U119" s="203">
        <v>0</v>
      </c>
      <c r="V119" s="204" t="s">
        <v>2597</v>
      </c>
      <c r="W119" s="203">
        <v>553.76760000000002</v>
      </c>
      <c r="X119" s="205">
        <v>-10.714285714285722</v>
      </c>
      <c r="Y119" s="204" t="s">
        <v>2597</v>
      </c>
      <c r="Z119" s="204" t="s">
        <v>2597</v>
      </c>
      <c r="AA119" s="204" t="s">
        <v>2597</v>
      </c>
      <c r="AB119" s="204" t="s">
        <v>2597</v>
      </c>
      <c r="AC119" s="204" t="s">
        <v>2597</v>
      </c>
    </row>
    <row r="120" spans="1:29" ht="15">
      <c r="A120" s="182" t="s">
        <v>1120</v>
      </c>
      <c r="B120" s="182" t="s">
        <v>1830</v>
      </c>
      <c r="C120" s="182"/>
      <c r="D120" s="183">
        <v>2.7534999999999998</v>
      </c>
      <c r="E120" s="183">
        <v>1391.50408638203</v>
      </c>
      <c r="F120" s="183">
        <v>1450.4910822254401</v>
      </c>
      <c r="G120" s="184">
        <v>0</v>
      </c>
      <c r="H120" s="184">
        <v>0</v>
      </c>
      <c r="I120" s="184">
        <v>0</v>
      </c>
      <c r="J120" s="177" t="b">
        <f>IF(ISBLANK(CertifiedCrop[[#This Row],[1. Identifiant interne d’exploitation agricole*]]),"",IF(ISERROR(MATCH(CertifiedCrop[[#This Row],[1. Identifiant interne d’exploitation agricole*]],GroupMember[1. Identifiant interne d’exploitation agricole*],0)),FALSE,TRUE))</f>
        <v>1</v>
      </c>
      <c r="K120" s="177" t="b">
        <f t="array" ref="K120">IF(ISBLANK(CertifiedCrop[[#This Row],[2. Produit agricole certifié*]]),"",IF(ISERROR(MATCH(1,(#REF!=CertifiedCrop[[#This Row],[2. Produit agricole certifié*]])*(#REF!=CertifiedCrop[[#This Row],[3. Variété**]]),0)),FALSE,TRUE))</f>
        <v>0</v>
      </c>
      <c r="L120" s="185" t="str">
        <f t="shared" si="5"/>
        <v/>
      </c>
      <c r="M120" s="186" t="str">
        <f t="shared" si="6"/>
        <v/>
      </c>
      <c r="N120" s="187" t="str">
        <f t="shared" si="7"/>
        <v/>
      </c>
      <c r="O120" s="188">
        <f t="shared" si="8"/>
        <v>505.35830266280374</v>
      </c>
      <c r="P120" s="188">
        <f t="shared" si="9"/>
        <v>526.78085426745599</v>
      </c>
      <c r="Q120" s="178" t="str">
        <f>IFERROR((VLOOKUP(A120,GM_Table,8,FALSE)-SUMIFS(D:D,A:A,A120,B:B,B120,C:C,C120)),"")</f>
        <v/>
      </c>
      <c r="R120" s="178" t="str">
        <f>IFERROR(CONCATENATE(VLOOKUP(A120,GM_Table,12,FALSE)," ",(VLOOKUP(A120,GM_Table,13,FALSE))),"")</f>
        <v/>
      </c>
      <c r="T120" s="203">
        <v>621.20613118773952</v>
      </c>
      <c r="U120" s="203">
        <v>0</v>
      </c>
      <c r="V120" s="204" t="s">
        <v>2597</v>
      </c>
      <c r="W120" s="203">
        <v>554.6483314176246</v>
      </c>
      <c r="X120" s="205">
        <v>-10.714285714285708</v>
      </c>
      <c r="Y120" s="204" t="s">
        <v>2597</v>
      </c>
      <c r="Z120" s="204" t="s">
        <v>2597</v>
      </c>
      <c r="AA120" s="204" t="s">
        <v>2597</v>
      </c>
      <c r="AB120" s="204" t="s">
        <v>2597</v>
      </c>
      <c r="AC120" s="204" t="s">
        <v>2597</v>
      </c>
    </row>
    <row r="121" spans="1:29" ht="15">
      <c r="A121" s="182" t="s">
        <v>1123</v>
      </c>
      <c r="B121" s="182" t="s">
        <v>1830</v>
      </c>
      <c r="C121" s="182"/>
      <c r="D121" s="183">
        <v>4.4279000000000002</v>
      </c>
      <c r="E121" s="183">
        <v>2240.022120682238</v>
      </c>
      <c r="F121" s="183">
        <v>2456.37596773</v>
      </c>
      <c r="G121" s="184">
        <v>0</v>
      </c>
      <c r="H121" s="184">
        <v>0</v>
      </c>
      <c r="I121" s="184">
        <v>0</v>
      </c>
      <c r="J121" s="177" t="b">
        <f>IF(ISBLANK(CertifiedCrop[[#This Row],[1. Identifiant interne d’exploitation agricole*]]),"",IF(ISERROR(MATCH(CertifiedCrop[[#This Row],[1. Identifiant interne d’exploitation agricole*]],GroupMember[1. Identifiant interne d’exploitation agricole*],0)),FALSE,TRUE))</f>
        <v>1</v>
      </c>
      <c r="K121" s="177" t="b">
        <f t="array" ref="K121">IF(ISBLANK(CertifiedCrop[[#This Row],[2. Produit agricole certifié*]]),"",IF(ISERROR(MATCH(1,(#REF!=CertifiedCrop[[#This Row],[2. Produit agricole certifié*]])*(#REF!=CertifiedCrop[[#This Row],[3. Variété**]]),0)),FALSE,TRUE))</f>
        <v>0</v>
      </c>
      <c r="L121" s="185" t="str">
        <f t="shared" si="5"/>
        <v/>
      </c>
      <c r="M121" s="186" t="str">
        <f t="shared" si="6"/>
        <v/>
      </c>
      <c r="N121" s="187" t="str">
        <f t="shared" si="7"/>
        <v/>
      </c>
      <c r="O121" s="188">
        <f t="shared" si="8"/>
        <v>505.88814577615528</v>
      </c>
      <c r="P121" s="188">
        <f t="shared" si="9"/>
        <v>554.74964830506553</v>
      </c>
      <c r="Q121" s="178" t="str">
        <f>IFERROR((VLOOKUP(A121,GM_Table,8,FALSE)-SUMIFS(D:D,A:A,A121,B:B,B121,C:C,C121)),"")</f>
        <v/>
      </c>
      <c r="R121" s="178" t="str">
        <f>IFERROR(CONCATENATE(VLOOKUP(A121,GM_Table,12,FALSE)," ",(VLOOKUP(A121,GM_Table,13,FALSE))),"")</f>
        <v/>
      </c>
      <c r="T121" s="203">
        <v>622.50185589782893</v>
      </c>
      <c r="U121" s="203">
        <v>0</v>
      </c>
      <c r="V121" s="204" t="s">
        <v>2597</v>
      </c>
      <c r="W121" s="203">
        <v>555.80522848020439</v>
      </c>
      <c r="X121" s="205">
        <v>-10.714285714285717</v>
      </c>
      <c r="Y121" s="204" t="s">
        <v>2597</v>
      </c>
      <c r="Z121" s="204" t="s">
        <v>2597</v>
      </c>
      <c r="AA121" s="204" t="s">
        <v>2597</v>
      </c>
      <c r="AB121" s="204" t="s">
        <v>2597</v>
      </c>
      <c r="AC121" s="204" t="s">
        <v>2597</v>
      </c>
    </row>
    <row r="122" spans="1:29" ht="15">
      <c r="A122" s="182" t="s">
        <v>1127</v>
      </c>
      <c r="B122" s="182" t="s">
        <v>1830</v>
      </c>
      <c r="C122" s="182"/>
      <c r="D122" s="183">
        <v>5.2076000000000002</v>
      </c>
      <c r="E122" s="183">
        <v>2637.5406958492454</v>
      </c>
      <c r="F122" s="183">
        <v>2744.88275519124</v>
      </c>
      <c r="G122" s="184">
        <v>0</v>
      </c>
      <c r="H122" s="184">
        <v>0</v>
      </c>
      <c r="I122" s="184">
        <v>0</v>
      </c>
      <c r="J122" s="177" t="b">
        <f>IF(ISBLANK(CertifiedCrop[[#This Row],[1. Identifiant interne d’exploitation agricole*]]),"",IF(ISERROR(MATCH(CertifiedCrop[[#This Row],[1. Identifiant interne d’exploitation agricole*]],GroupMember[1. Identifiant interne d’exploitation agricole*],0)),FALSE,TRUE))</f>
        <v>1</v>
      </c>
      <c r="K122" s="177" t="b">
        <f t="array" ref="K122">IF(ISBLANK(CertifiedCrop[[#This Row],[2. Produit agricole certifié*]]),"",IF(ISERROR(MATCH(1,(#REF!=CertifiedCrop[[#This Row],[2. Produit agricole certifié*]])*(#REF!=CertifiedCrop[[#This Row],[3. Variété**]]),0)),FALSE,TRUE))</f>
        <v>0</v>
      </c>
      <c r="L122" s="185" t="str">
        <f t="shared" si="5"/>
        <v/>
      </c>
      <c r="M122" s="186" t="str">
        <f t="shared" si="6"/>
        <v/>
      </c>
      <c r="N122" s="187" t="str">
        <f t="shared" si="7"/>
        <v/>
      </c>
      <c r="O122" s="188">
        <f t="shared" si="8"/>
        <v>506.47912586397672</v>
      </c>
      <c r="P122" s="188">
        <f t="shared" si="9"/>
        <v>527.0917035085721</v>
      </c>
      <c r="Q122" s="178" t="str">
        <f>IFERROR((VLOOKUP(A122,GM_Table,8,FALSE)-SUMIFS(D:D,A:A,A122,B:B,B122,C:C,C122)),"")</f>
        <v/>
      </c>
      <c r="R122" s="178" t="str">
        <f>IFERROR(CONCATENATE(VLOOKUP(A122,GM_Table,12,FALSE)," ",(VLOOKUP(A122,GM_Table,13,FALSE))),"")</f>
        <v/>
      </c>
      <c r="T122" s="203">
        <v>623.10522221200506</v>
      </c>
      <c r="U122" s="203">
        <v>0</v>
      </c>
      <c r="V122" s="204" t="s">
        <v>2597</v>
      </c>
      <c r="W122" s="203">
        <v>556.34394840357595</v>
      </c>
      <c r="X122" s="205">
        <v>-10.714285714285714</v>
      </c>
      <c r="Y122" s="204" t="s">
        <v>2597</v>
      </c>
      <c r="Z122" s="204" t="s">
        <v>2597</v>
      </c>
      <c r="AA122" s="204" t="s">
        <v>2597</v>
      </c>
      <c r="AB122" s="204" t="s">
        <v>2597</v>
      </c>
      <c r="AC122" s="204" t="s">
        <v>2597</v>
      </c>
    </row>
    <row r="123" spans="1:29" ht="15">
      <c r="A123" s="182" t="s">
        <v>1131</v>
      </c>
      <c r="B123" s="182" t="s">
        <v>1830</v>
      </c>
      <c r="C123" s="182"/>
      <c r="D123" s="183">
        <v>1.6747000000000001</v>
      </c>
      <c r="E123" s="183">
        <v>848.40768951987604</v>
      </c>
      <c r="F123" s="183">
        <v>1038.9358296359296</v>
      </c>
      <c r="G123" s="184">
        <v>0</v>
      </c>
      <c r="H123" s="184">
        <v>0</v>
      </c>
      <c r="I123" s="184">
        <v>0</v>
      </c>
      <c r="J123" s="177" t="b">
        <f>IF(ISBLANK(CertifiedCrop[[#This Row],[1. Identifiant interne d’exploitation agricole*]]),"",IF(ISERROR(MATCH(CertifiedCrop[[#This Row],[1. Identifiant interne d’exploitation agricole*]],GroupMember[1. Identifiant interne d’exploitation agricole*],0)),FALSE,TRUE))</f>
        <v>1</v>
      </c>
      <c r="K123" s="177" t="b">
        <f t="array" ref="K123">IF(ISBLANK(CertifiedCrop[[#This Row],[2. Produit agricole certifié*]]),"",IF(ISERROR(MATCH(1,(#REF!=CertifiedCrop[[#This Row],[2. Produit agricole certifié*]])*(#REF!=CertifiedCrop[[#This Row],[3. Variété**]]),0)),FALSE,TRUE))</f>
        <v>0</v>
      </c>
      <c r="L123" s="185" t="str">
        <f t="shared" si="5"/>
        <v/>
      </c>
      <c r="M123" s="186" t="str">
        <f t="shared" si="6"/>
        <v/>
      </c>
      <c r="N123" s="187" t="str">
        <f t="shared" si="7"/>
        <v/>
      </c>
      <c r="O123" s="188">
        <f t="shared" si="8"/>
        <v>506.60278827245236</v>
      </c>
      <c r="P123" s="188">
        <f t="shared" si="9"/>
        <v>620.37130807662845</v>
      </c>
      <c r="Q123" s="178" t="str">
        <f>IFERROR((VLOOKUP(A123,GM_Table,8,FALSE)-SUMIFS(D:D,A:A,A123,B:B,B123,C:C,C123)),"")</f>
        <v/>
      </c>
      <c r="R123" s="178" t="str">
        <f>IFERROR(CONCATENATE(VLOOKUP(A123,GM_Table,12,FALSE)," ",(VLOOKUP(A123,GM_Table,13,FALSE))),"")</f>
        <v/>
      </c>
      <c r="T123" s="203">
        <v>620.37130807662845</v>
      </c>
      <c r="U123" s="203">
        <v>0</v>
      </c>
      <c r="V123" s="204" t="s">
        <v>2597</v>
      </c>
      <c r="W123" s="203">
        <v>553.90295363984671</v>
      </c>
      <c r="X123" s="205">
        <v>-10.714285714285733</v>
      </c>
      <c r="Y123" s="204" t="s">
        <v>2597</v>
      </c>
      <c r="Z123" s="204" t="s">
        <v>2597</v>
      </c>
      <c r="AA123" s="204" t="s">
        <v>2597</v>
      </c>
      <c r="AB123" s="204" t="s">
        <v>2597</v>
      </c>
      <c r="AC123" s="204" t="s">
        <v>2597</v>
      </c>
    </row>
    <row r="124" spans="1:29" ht="15">
      <c r="A124" s="182" t="s">
        <v>1136</v>
      </c>
      <c r="B124" s="182" t="s">
        <v>1830</v>
      </c>
      <c r="C124" s="182"/>
      <c r="D124" s="183">
        <v>1.3675999999999999</v>
      </c>
      <c r="E124" s="183">
        <v>692.98925780967943</v>
      </c>
      <c r="F124" s="183">
        <v>848.09479413560564</v>
      </c>
      <c r="G124" s="184">
        <v>0</v>
      </c>
      <c r="H124" s="184">
        <v>0</v>
      </c>
      <c r="I124" s="184">
        <v>0</v>
      </c>
      <c r="J124" s="177" t="b">
        <f>IF(ISBLANK(CertifiedCrop[[#This Row],[1. Identifiant interne d’exploitation agricole*]]),"",IF(ISERROR(MATCH(CertifiedCrop[[#This Row],[1. Identifiant interne d’exploitation agricole*]],GroupMember[1. Identifiant interne d’exploitation agricole*],0)),FALSE,TRUE))</f>
        <v>1</v>
      </c>
      <c r="K124" s="177" t="b">
        <f t="array" ref="K124">IF(ISBLANK(CertifiedCrop[[#This Row],[2. Produit agricole certifié*]]),"",IF(ISERROR(MATCH(1,(#REF!=CertifiedCrop[[#This Row],[2. Produit agricole certifié*]])*(#REF!=CertifiedCrop[[#This Row],[3. Variété**]]),0)),FALSE,TRUE))</f>
        <v>0</v>
      </c>
      <c r="L124" s="185" t="str">
        <f t="shared" si="5"/>
        <v/>
      </c>
      <c r="M124" s="186" t="str">
        <f t="shared" si="6"/>
        <v/>
      </c>
      <c r="N124" s="187" t="str">
        <f t="shared" si="7"/>
        <v/>
      </c>
      <c r="O124" s="188">
        <f t="shared" si="8"/>
        <v>506.71925841596919</v>
      </c>
      <c r="P124" s="188">
        <f t="shared" si="9"/>
        <v>620.13366052618142</v>
      </c>
      <c r="Q124" s="178" t="str">
        <f>IFERROR((VLOOKUP(A124,GM_Table,8,FALSE)-SUMIFS(D:D,A:A,A124,B:B,B124,C:C,C124)),"")</f>
        <v/>
      </c>
      <c r="R124" s="178" t="str">
        <f>IFERROR(CONCATENATE(VLOOKUP(A124,GM_Table,12,FALSE)," ",(VLOOKUP(A124,GM_Table,13,FALSE))),"")</f>
        <v/>
      </c>
      <c r="T124" s="203">
        <v>620.13366052618142</v>
      </c>
      <c r="U124" s="203">
        <v>0</v>
      </c>
      <c r="V124" s="204" t="s">
        <v>2597</v>
      </c>
      <c r="W124" s="203">
        <v>553.6907683269477</v>
      </c>
      <c r="X124" s="205">
        <v>-10.714285714285712</v>
      </c>
      <c r="Y124" s="204" t="s">
        <v>2597</v>
      </c>
      <c r="Z124" s="204" t="s">
        <v>2597</v>
      </c>
      <c r="AA124" s="204" t="s">
        <v>2597</v>
      </c>
      <c r="AB124" s="204" t="s">
        <v>2597</v>
      </c>
      <c r="AC124" s="204" t="s">
        <v>2597</v>
      </c>
    </row>
    <row r="125" spans="1:29" ht="15">
      <c r="A125" s="182" t="s">
        <v>1140</v>
      </c>
      <c r="B125" s="182" t="s">
        <v>1830</v>
      </c>
      <c r="C125" s="182"/>
      <c r="D125" s="183">
        <v>1.9374</v>
      </c>
      <c r="E125" s="183">
        <v>984.29237271506884</v>
      </c>
      <c r="F125" s="183">
        <v>1202.3012241214039</v>
      </c>
      <c r="G125" s="184">
        <v>0</v>
      </c>
      <c r="H125" s="184">
        <v>0</v>
      </c>
      <c r="I125" s="184">
        <v>0</v>
      </c>
      <c r="J125" s="177" t="b">
        <f>IF(ISBLANK(CertifiedCrop[[#This Row],[1. Identifiant interne d’exploitation agricole*]]),"",IF(ISERROR(MATCH(CertifiedCrop[[#This Row],[1. Identifiant interne d’exploitation agricole*]],GroupMember[1. Identifiant interne d’exploitation agricole*],0)),FALSE,TRUE))</f>
        <v>1</v>
      </c>
      <c r="K125" s="177" t="b">
        <f t="array" ref="K125">IF(ISBLANK(CertifiedCrop[[#This Row],[2. Produit agricole certifié*]]),"",IF(ISERROR(MATCH(1,(#REF!=CertifiedCrop[[#This Row],[2. Produit agricole certifié*]])*(#REF!=CertifiedCrop[[#This Row],[3. Variété**]]),0)),FALSE,TRUE))</f>
        <v>0</v>
      </c>
      <c r="L125" s="185" t="str">
        <f t="shared" si="5"/>
        <v/>
      </c>
      <c r="M125" s="186" t="str">
        <f t="shared" si="6"/>
        <v/>
      </c>
      <c r="N125" s="187" t="str">
        <f t="shared" si="7"/>
        <v/>
      </c>
      <c r="O125" s="188">
        <f t="shared" si="8"/>
        <v>508.04809162540977</v>
      </c>
      <c r="P125" s="188">
        <f t="shared" si="9"/>
        <v>620.57459694508304</v>
      </c>
      <c r="Q125" s="178" t="str">
        <f>IFERROR((VLOOKUP(A125,GM_Table,8,FALSE)-SUMIFS(D:D,A:A,A125,B:B,B125,C:C,C125)),"")</f>
        <v/>
      </c>
      <c r="R125" s="178" t="str">
        <f>IFERROR(CONCATENATE(VLOOKUP(A125,GM_Table,12,FALSE)," ",(VLOOKUP(A125,GM_Table,13,FALSE))),"")</f>
        <v/>
      </c>
      <c r="T125" s="203">
        <v>620.57459694508304</v>
      </c>
      <c r="U125" s="203">
        <v>0</v>
      </c>
      <c r="V125" s="204" t="s">
        <v>2597</v>
      </c>
      <c r="W125" s="203">
        <v>554.08446155810987</v>
      </c>
      <c r="X125" s="205">
        <v>-10.714285714285714</v>
      </c>
      <c r="Y125" s="204" t="s">
        <v>2597</v>
      </c>
      <c r="Z125" s="204" t="s">
        <v>2597</v>
      </c>
      <c r="AA125" s="204" t="s">
        <v>2597</v>
      </c>
      <c r="AB125" s="204" t="s">
        <v>2597</v>
      </c>
      <c r="AC125" s="204" t="s">
        <v>2597</v>
      </c>
    </row>
    <row r="126" spans="1:29" ht="15">
      <c r="A126" s="182" t="s">
        <v>1143</v>
      </c>
      <c r="B126" s="182" t="s">
        <v>1830</v>
      </c>
      <c r="C126" s="182"/>
      <c r="D126" s="183">
        <v>6.4448999999999996</v>
      </c>
      <c r="E126" s="183">
        <v>3275.886419950677</v>
      </c>
      <c r="F126" s="183">
        <v>3622.0216928265399</v>
      </c>
      <c r="G126" s="184">
        <v>0</v>
      </c>
      <c r="H126" s="184">
        <v>0</v>
      </c>
      <c r="I126" s="184">
        <v>0</v>
      </c>
      <c r="J126" s="177" t="b">
        <f>IF(ISBLANK(CertifiedCrop[[#This Row],[1. Identifiant interne d’exploitation agricole*]]),"",IF(ISERROR(MATCH(CertifiedCrop[[#This Row],[1. Identifiant interne d’exploitation agricole*]],GroupMember[1. Identifiant interne d’exploitation agricole*],0)),FALSE,TRUE))</f>
        <v>1</v>
      </c>
      <c r="K126" s="177" t="b">
        <f t="array" ref="K126">IF(ISBLANK(CertifiedCrop[[#This Row],[2. Produit agricole certifié*]]),"",IF(ISERROR(MATCH(1,(#REF!=CertifiedCrop[[#This Row],[2. Produit agricole certifié*]])*(#REF!=CertifiedCrop[[#This Row],[3. Variété**]]),0)),FALSE,TRUE))</f>
        <v>0</v>
      </c>
      <c r="L126" s="185" t="str">
        <f t="shared" si="5"/>
        <v/>
      </c>
      <c r="M126" s="186" t="str">
        <f t="shared" si="6"/>
        <v/>
      </c>
      <c r="N126" s="187" t="str">
        <f t="shared" si="7"/>
        <v/>
      </c>
      <c r="O126" s="188">
        <f t="shared" si="8"/>
        <v>508.29127216103853</v>
      </c>
      <c r="P126" s="188">
        <f t="shared" si="9"/>
        <v>561.99812143346526</v>
      </c>
      <c r="Q126" s="178" t="str">
        <f>IFERROR((VLOOKUP(A126,GM_Table,8,FALSE)-SUMIFS(D:D,A:A,A126,B:B,B126,C:C,C126)),"")</f>
        <v/>
      </c>
      <c r="R126" s="178" t="str">
        <f>IFERROR(CONCATENATE(VLOOKUP(A126,GM_Table,12,FALSE)," ",(VLOOKUP(A126,GM_Table,13,FALSE))),"")</f>
        <v/>
      </c>
      <c r="T126" s="203">
        <v>624.0626996270754</v>
      </c>
      <c r="U126" s="203">
        <v>0</v>
      </c>
      <c r="V126" s="204" t="s">
        <v>2597</v>
      </c>
      <c r="W126" s="203">
        <v>557.19883895274586</v>
      </c>
      <c r="X126" s="205">
        <v>-10.714285714285721</v>
      </c>
      <c r="Y126" s="204" t="s">
        <v>2597</v>
      </c>
      <c r="Z126" s="204" t="s">
        <v>2597</v>
      </c>
      <c r="AA126" s="204" t="s">
        <v>2597</v>
      </c>
      <c r="AB126" s="204" t="s">
        <v>2597</v>
      </c>
      <c r="AC126" s="204" t="s">
        <v>2597</v>
      </c>
    </row>
    <row r="127" spans="1:29" ht="15">
      <c r="A127" s="182" t="s">
        <v>1148</v>
      </c>
      <c r="B127" s="182" t="s">
        <v>1830</v>
      </c>
      <c r="C127" s="182"/>
      <c r="D127" s="183">
        <v>2.7589999999999999</v>
      </c>
      <c r="E127" s="183">
        <v>1403.3340201243275</v>
      </c>
      <c r="F127" s="183">
        <v>1513.9194586456199</v>
      </c>
      <c r="G127" s="184">
        <v>0</v>
      </c>
      <c r="H127" s="184">
        <v>0</v>
      </c>
      <c r="I127" s="184">
        <v>0</v>
      </c>
      <c r="J127" s="177" t="b">
        <f>IF(ISBLANK(CertifiedCrop[[#This Row],[1. Identifiant interne d’exploitation agricole*]]),"",IF(ISERROR(MATCH(CertifiedCrop[[#This Row],[1. Identifiant interne d’exploitation agricole*]],GroupMember[1. Identifiant interne d’exploitation agricole*],0)),FALSE,TRUE))</f>
        <v>1</v>
      </c>
      <c r="K127" s="177" t="b">
        <f t="array" ref="K127">IF(ISBLANK(CertifiedCrop[[#This Row],[2. Produit agricole certifié*]]),"",IF(ISERROR(MATCH(1,(#REF!=CertifiedCrop[[#This Row],[2. Produit agricole certifié*]])*(#REF!=CertifiedCrop[[#This Row],[3. Variété**]]),0)),FALSE,TRUE))</f>
        <v>0</v>
      </c>
      <c r="L127" s="185" t="str">
        <f t="shared" si="5"/>
        <v/>
      </c>
      <c r="M127" s="186" t="str">
        <f t="shared" si="6"/>
        <v/>
      </c>
      <c r="N127" s="187" t="str">
        <f t="shared" si="7"/>
        <v/>
      </c>
      <c r="O127" s="188">
        <f t="shared" si="8"/>
        <v>508.63864448145256</v>
      </c>
      <c r="P127" s="188">
        <f t="shared" si="9"/>
        <v>548.72035471026459</v>
      </c>
      <c r="Q127" s="178" t="str">
        <f>IFERROR((VLOOKUP(A127,GM_Table,8,FALSE)-SUMIFS(D:D,A:A,A127,B:B,B127,C:C,C127)),"")</f>
        <v/>
      </c>
      <c r="R127" s="178" t="str">
        <f>IFERROR(CONCATENATE(VLOOKUP(A127,GM_Table,12,FALSE)," ",(VLOOKUP(A127,GM_Table,13,FALSE))),"")</f>
        <v/>
      </c>
      <c r="T127" s="203">
        <v>621.21038733077899</v>
      </c>
      <c r="U127" s="203">
        <v>0</v>
      </c>
      <c r="V127" s="204" t="s">
        <v>2597</v>
      </c>
      <c r="W127" s="203">
        <v>554.65213154533842</v>
      </c>
      <c r="X127" s="205">
        <v>-10.714285714285708</v>
      </c>
      <c r="Y127" s="204" t="s">
        <v>2597</v>
      </c>
      <c r="Z127" s="204" t="s">
        <v>2597</v>
      </c>
      <c r="AA127" s="204" t="s">
        <v>2597</v>
      </c>
      <c r="AB127" s="204" t="s">
        <v>2597</v>
      </c>
      <c r="AC127" s="204" t="s">
        <v>2597</v>
      </c>
    </row>
    <row r="128" spans="1:29" ht="15">
      <c r="A128" s="182" t="s">
        <v>1152</v>
      </c>
      <c r="B128" s="182" t="s">
        <v>1830</v>
      </c>
      <c r="C128" s="182"/>
      <c r="D128" s="183">
        <v>0.96819999999999995</v>
      </c>
      <c r="E128" s="183">
        <v>492.49462746835945</v>
      </c>
      <c r="F128" s="183">
        <v>600.11416528549262</v>
      </c>
      <c r="G128" s="184">
        <v>0</v>
      </c>
      <c r="H128" s="184">
        <v>0</v>
      </c>
      <c r="I128" s="184">
        <v>0</v>
      </c>
      <c r="J128" s="177" t="b">
        <f>IF(ISBLANK(CertifiedCrop[[#This Row],[1. Identifiant interne d’exploitation agricole*]]),"",IF(ISERROR(MATCH(CertifiedCrop[[#This Row],[1. Identifiant interne d’exploitation agricole*]],GroupMember[1. Identifiant interne d’exploitation agricole*],0)),FALSE,TRUE))</f>
        <v>1</v>
      </c>
      <c r="K128" s="177" t="b">
        <f t="array" ref="K128">IF(ISBLANK(CertifiedCrop[[#This Row],[2. Produit agricole certifié*]]),"",IF(ISERROR(MATCH(1,(#REF!=CertifiedCrop[[#This Row],[2. Produit agricole certifié*]])*(#REF!=CertifiedCrop[[#This Row],[3. Variété**]]),0)),FALSE,TRUE))</f>
        <v>0</v>
      </c>
      <c r="L128" s="185" t="str">
        <f t="shared" si="5"/>
        <v/>
      </c>
      <c r="M128" s="186" t="str">
        <f t="shared" si="6"/>
        <v/>
      </c>
      <c r="N128" s="187" t="str">
        <f t="shared" si="7"/>
        <v/>
      </c>
      <c r="O128" s="188">
        <f t="shared" si="8"/>
        <v>508.67034442094553</v>
      </c>
      <c r="P128" s="188">
        <f t="shared" si="9"/>
        <v>619.8245871570881</v>
      </c>
      <c r="Q128" s="178" t="str">
        <f>IFERROR((VLOOKUP(A128,GM_Table,8,FALSE)-SUMIFS(D:D,A:A,A128,B:B,B128,C:C,C128)),"")</f>
        <v/>
      </c>
      <c r="R128" s="178" t="str">
        <f>IFERROR(CONCATENATE(VLOOKUP(A128,GM_Table,12,FALSE)," ",(VLOOKUP(A128,GM_Table,13,FALSE))),"")</f>
        <v/>
      </c>
      <c r="T128" s="203">
        <v>619.8245871570881</v>
      </c>
      <c r="U128" s="203">
        <v>0</v>
      </c>
      <c r="V128" s="204" t="s">
        <v>2597</v>
      </c>
      <c r="W128" s="203">
        <v>553.41480996168582</v>
      </c>
      <c r="X128" s="205">
        <v>-10.714285714285712</v>
      </c>
      <c r="Y128" s="204" t="s">
        <v>2597</v>
      </c>
      <c r="Z128" s="204" t="s">
        <v>2597</v>
      </c>
      <c r="AA128" s="204" t="s">
        <v>2597</v>
      </c>
      <c r="AB128" s="204" t="s">
        <v>2597</v>
      </c>
      <c r="AC128" s="204" t="s">
        <v>2597</v>
      </c>
    </row>
    <row r="129" spans="1:29" ht="15">
      <c r="A129" s="182" t="s">
        <v>1155</v>
      </c>
      <c r="B129" s="182" t="s">
        <v>1830</v>
      </c>
      <c r="C129" s="182"/>
      <c r="D129" s="183">
        <v>2.5897999999999999</v>
      </c>
      <c r="E129" s="183">
        <v>1319.2529636685099</v>
      </c>
      <c r="F129" s="183">
        <v>1408.47156710487</v>
      </c>
      <c r="G129" s="184">
        <v>0</v>
      </c>
      <c r="H129" s="184">
        <v>0</v>
      </c>
      <c r="I129" s="184">
        <v>0</v>
      </c>
      <c r="J129" s="177" t="b">
        <f>IF(ISBLANK(CertifiedCrop[[#This Row],[1. Identifiant interne d’exploitation agricole*]]),"",IF(ISERROR(MATCH(CertifiedCrop[[#This Row],[1. Identifiant interne d’exploitation agricole*]],GroupMember[1. Identifiant interne d’exploitation agricole*],0)),FALSE,TRUE))</f>
        <v>1</v>
      </c>
      <c r="K129" s="177" t="b">
        <f t="array" ref="K129">IF(ISBLANK(CertifiedCrop[[#This Row],[2. Produit agricole certifié*]]),"",IF(ISERROR(MATCH(1,(#REF!=CertifiedCrop[[#This Row],[2. Produit agricole certifié*]])*(#REF!=CertifiedCrop[[#This Row],[3. Variété**]]),0)),FALSE,TRUE))</f>
        <v>0</v>
      </c>
      <c r="L129" s="185" t="str">
        <f t="shared" si="5"/>
        <v/>
      </c>
      <c r="M129" s="186" t="str">
        <f t="shared" si="6"/>
        <v/>
      </c>
      <c r="N129" s="187" t="str">
        <f t="shared" si="7"/>
        <v/>
      </c>
      <c r="O129" s="188">
        <f t="shared" si="8"/>
        <v>509.40341480751795</v>
      </c>
      <c r="P129" s="188">
        <f t="shared" si="9"/>
        <v>543.85341227309834</v>
      </c>
      <c r="Q129" s="178" t="str">
        <f>IFERROR((VLOOKUP(A129,GM_Table,8,FALSE)-SUMIFS(D:D,A:A,A129,B:B,B129,C:C,C129)),"")</f>
        <v/>
      </c>
      <c r="R129" s="178" t="str">
        <f>IFERROR(CONCATENATE(VLOOKUP(A129,GM_Table,12,FALSE)," ",(VLOOKUP(A129,GM_Table,13,FALSE))),"")</f>
        <v/>
      </c>
      <c r="T129" s="203">
        <v>621.07945289399743</v>
      </c>
      <c r="U129" s="203">
        <v>0</v>
      </c>
      <c r="V129" s="204" t="s">
        <v>2597</v>
      </c>
      <c r="W129" s="203">
        <v>554.53522579821197</v>
      </c>
      <c r="X129" s="205">
        <v>-10.714285714285717</v>
      </c>
      <c r="Y129" s="204" t="s">
        <v>2597</v>
      </c>
      <c r="Z129" s="204" t="s">
        <v>2597</v>
      </c>
      <c r="AA129" s="204" t="s">
        <v>2597</v>
      </c>
      <c r="AB129" s="204" t="s">
        <v>2597</v>
      </c>
      <c r="AC129" s="204" t="s">
        <v>2597</v>
      </c>
    </row>
    <row r="130" spans="1:29" ht="15">
      <c r="A130" s="182" t="s">
        <v>1159</v>
      </c>
      <c r="B130" s="182" t="s">
        <v>1830</v>
      </c>
      <c r="C130" s="182"/>
      <c r="D130" s="183">
        <v>1.9420999999999999</v>
      </c>
      <c r="E130" s="183">
        <v>989.66038881689235</v>
      </c>
      <c r="F130" s="183">
        <v>1205.224988276203</v>
      </c>
      <c r="G130" s="184">
        <v>0</v>
      </c>
      <c r="H130" s="184">
        <v>0</v>
      </c>
      <c r="I130" s="184">
        <v>0</v>
      </c>
      <c r="J130" s="177" t="b">
        <f>IF(ISBLANK(CertifiedCrop[[#This Row],[1. Identifiant interne d’exploitation agricole*]]),"",IF(ISERROR(MATCH(CertifiedCrop[[#This Row],[1. Identifiant interne d’exploitation agricole*]],GroupMember[1. Identifiant interne d’exploitation agricole*],0)),FALSE,TRUE))</f>
        <v>1</v>
      </c>
      <c r="K130" s="177" t="b">
        <f t="array" ref="K130">IF(ISBLANK(CertifiedCrop[[#This Row],[2. Produit agricole certifié*]]),"",IF(ISERROR(MATCH(1,(#REF!=CertifiedCrop[[#This Row],[2. Produit agricole certifié*]])*(#REF!=CertifiedCrop[[#This Row],[3. Variété**]]),0)),FALSE,TRUE))</f>
        <v>0</v>
      </c>
      <c r="L130" s="185" t="str">
        <f t="shared" si="5"/>
        <v/>
      </c>
      <c r="M130" s="186" t="str">
        <f t="shared" si="6"/>
        <v/>
      </c>
      <c r="N130" s="187" t="str">
        <f t="shared" si="7"/>
        <v/>
      </c>
      <c r="O130" s="188">
        <f t="shared" si="8"/>
        <v>509.58261099680368</v>
      </c>
      <c r="P130" s="188">
        <f t="shared" si="9"/>
        <v>620.5782340127713</v>
      </c>
      <c r="Q130" s="178" t="str">
        <f>IFERROR((VLOOKUP(A130,GM_Table,8,FALSE)-SUMIFS(D:D,A:A,A130,B:B,B130,C:C,C130)),"")</f>
        <v/>
      </c>
      <c r="R130" s="178" t="str">
        <f>IFERROR(CONCATENATE(VLOOKUP(A130,GM_Table,12,FALSE)," ",(VLOOKUP(A130,GM_Table,13,FALSE))),"")</f>
        <v/>
      </c>
      <c r="T130" s="203">
        <v>620.5782340127713</v>
      </c>
      <c r="U130" s="203">
        <v>0</v>
      </c>
      <c r="V130" s="204" t="s">
        <v>2597</v>
      </c>
      <c r="W130" s="203">
        <v>554.08770893997439</v>
      </c>
      <c r="X130" s="205">
        <v>-10.714285714285712</v>
      </c>
      <c r="Y130" s="204" t="s">
        <v>2597</v>
      </c>
      <c r="Z130" s="204" t="s">
        <v>2597</v>
      </c>
      <c r="AA130" s="204" t="s">
        <v>2597</v>
      </c>
      <c r="AB130" s="204" t="s">
        <v>2597</v>
      </c>
      <c r="AC130" s="204" t="s">
        <v>2597</v>
      </c>
    </row>
    <row r="131" spans="1:29" ht="15">
      <c r="A131" s="182" t="s">
        <v>1161</v>
      </c>
      <c r="B131" s="182" t="s">
        <v>1830</v>
      </c>
      <c r="C131" s="182"/>
      <c r="D131" s="183">
        <v>1.7995000000000001</v>
      </c>
      <c r="E131" s="183">
        <v>918.5295434153885</v>
      </c>
      <c r="F131" s="183">
        <v>1116.5319569546359</v>
      </c>
      <c r="G131" s="184">
        <v>0</v>
      </c>
      <c r="H131" s="184">
        <v>0</v>
      </c>
      <c r="I131" s="184">
        <v>0</v>
      </c>
      <c r="J131" s="177" t="b">
        <f>IF(ISBLANK(CertifiedCrop[[#This Row],[1. Identifiant interne d’exploitation agricole*]]),"",IF(ISERROR(MATCH(CertifiedCrop[[#This Row],[1. Identifiant interne d’exploitation agricole*]],GroupMember[1. Identifiant interne d’exploitation agricole*],0)),FALSE,TRUE))</f>
        <v>1</v>
      </c>
      <c r="K131" s="177" t="b">
        <f t="array" ref="K131">IF(ISBLANK(CertifiedCrop[[#This Row],[2. Produit agricole certifié*]]),"",IF(ISERROR(MATCH(1,(#REF!=CertifiedCrop[[#This Row],[2. Produit agricole certifié*]])*(#REF!=CertifiedCrop[[#This Row],[3. Variété**]]),0)),FALSE,TRUE))</f>
        <v>0</v>
      </c>
      <c r="L131" s="185" t="str">
        <f t="shared" ref="L131:L194" si="10">IF((F131-G131)&lt;0,"!","")</f>
        <v/>
      </c>
      <c r="M131" s="186" t="str">
        <f t="shared" ref="M131:M194" si="11">IFERROR(IF((F131-G131)/G131&gt;25%,"!",IF((F131-G131)/G131&lt;-25%,"!","")),"")</f>
        <v/>
      </c>
      <c r="N131" s="187" t="str">
        <f t="shared" ref="N131:N194" si="12">IFERROR(IF((G131-H131)/H131&gt;25%,"!",IF((G131-H131)/H131&lt;-25%,"!","")),"")</f>
        <v/>
      </c>
      <c r="O131" s="188">
        <f t="shared" ref="O131:O194" si="13">IFERROR(E131/D131,"")</f>
        <v>510.43597855814863</v>
      </c>
      <c r="P131" s="188">
        <f t="shared" ref="P131:P194" si="14">IFERROR(F131/D131,"")</f>
        <v>620.46788383141757</v>
      </c>
      <c r="Q131" s="178" t="str">
        <f>IFERROR((VLOOKUP(A131,GM_Table,8,FALSE)-SUMIFS(D:D,A:A,A131,B:B,B131,C:C,C131)),"")</f>
        <v/>
      </c>
      <c r="R131" s="178" t="str">
        <f>IFERROR(CONCATENATE(VLOOKUP(A131,GM_Table,12,FALSE)," ",(VLOOKUP(A131,GM_Table,13,FALSE))),"")</f>
        <v/>
      </c>
      <c r="T131" s="203">
        <v>620.46788383141757</v>
      </c>
      <c r="U131" s="203">
        <v>0</v>
      </c>
      <c r="V131" s="204" t="s">
        <v>2597</v>
      </c>
      <c r="W131" s="203">
        <v>553.98918199233708</v>
      </c>
      <c r="X131" s="205">
        <v>-10.714285714285719</v>
      </c>
      <c r="Y131" s="204" t="s">
        <v>2597</v>
      </c>
      <c r="Z131" s="204" t="s">
        <v>2597</v>
      </c>
      <c r="AA131" s="204" t="s">
        <v>2597</v>
      </c>
      <c r="AB131" s="204" t="s">
        <v>2597</v>
      </c>
      <c r="AC131" s="204" t="s">
        <v>2597</v>
      </c>
    </row>
    <row r="132" spans="1:29" ht="15">
      <c r="A132" s="182" t="s">
        <v>1164</v>
      </c>
      <c r="B132" s="182" t="s">
        <v>1830</v>
      </c>
      <c r="C132" s="182"/>
      <c r="D132" s="183">
        <v>1.0013000000000001</v>
      </c>
      <c r="E132" s="183">
        <v>511.3152949341</v>
      </c>
      <c r="F132" s="183">
        <v>620.65600666156445</v>
      </c>
      <c r="G132" s="184">
        <v>0</v>
      </c>
      <c r="H132" s="184">
        <v>0</v>
      </c>
      <c r="I132" s="184">
        <v>0</v>
      </c>
      <c r="J132" s="177" t="b">
        <f>IF(ISBLANK(CertifiedCrop[[#This Row],[1. Identifiant interne d’exploitation agricole*]]),"",IF(ISERROR(MATCH(CertifiedCrop[[#This Row],[1. Identifiant interne d’exploitation agricole*]],GroupMember[1. Identifiant interne d’exploitation agricole*],0)),FALSE,TRUE))</f>
        <v>1</v>
      </c>
      <c r="K132" s="177" t="b">
        <f t="array" ref="K132">IF(ISBLANK(CertifiedCrop[[#This Row],[2. Produit agricole certifié*]]),"",IF(ISERROR(MATCH(1,(#REF!=CertifiedCrop[[#This Row],[2. Produit agricole certifié*]])*(#REF!=CertifiedCrop[[#This Row],[3. Variété**]]),0)),FALSE,TRUE))</f>
        <v>0</v>
      </c>
      <c r="L132" s="185" t="str">
        <f t="shared" si="10"/>
        <v/>
      </c>
      <c r="M132" s="186" t="str">
        <f t="shared" si="11"/>
        <v/>
      </c>
      <c r="N132" s="187" t="str">
        <f t="shared" si="12"/>
        <v/>
      </c>
      <c r="O132" s="188">
        <f t="shared" si="13"/>
        <v>510.65144805163283</v>
      </c>
      <c r="P132" s="188">
        <f t="shared" si="14"/>
        <v>619.85020139974472</v>
      </c>
      <c r="Q132" s="178" t="str">
        <f>IFERROR((VLOOKUP(A132,GM_Table,8,FALSE)-SUMIFS(D:D,A:A,A132,B:B,B132,C:C,C132)),"")</f>
        <v/>
      </c>
      <c r="R132" s="178" t="str">
        <f>IFERROR(CONCATENATE(VLOOKUP(A132,GM_Table,12,FALSE)," ",(VLOOKUP(A132,GM_Table,13,FALSE))),"")</f>
        <v/>
      </c>
      <c r="T132" s="203">
        <v>619.85020139974472</v>
      </c>
      <c r="U132" s="203">
        <v>0</v>
      </c>
      <c r="V132" s="204" t="s">
        <v>2597</v>
      </c>
      <c r="W132" s="203">
        <v>553.43767982120062</v>
      </c>
      <c r="X132" s="205">
        <v>-10.714285714285717</v>
      </c>
      <c r="Y132" s="204" t="s">
        <v>2597</v>
      </c>
      <c r="Z132" s="204" t="s">
        <v>2597</v>
      </c>
      <c r="AA132" s="204" t="s">
        <v>2597</v>
      </c>
      <c r="AB132" s="204" t="s">
        <v>2597</v>
      </c>
      <c r="AC132" s="204" t="s">
        <v>2597</v>
      </c>
    </row>
    <row r="133" spans="1:29" ht="15">
      <c r="A133" s="182" t="s">
        <v>1168</v>
      </c>
      <c r="B133" s="182" t="s">
        <v>1830</v>
      </c>
      <c r="C133" s="182"/>
      <c r="D133" s="183">
        <v>2.3774999999999999</v>
      </c>
      <c r="E133" s="183">
        <v>1214.1351752900835</v>
      </c>
      <c r="F133" s="183">
        <v>1476.2258066245213</v>
      </c>
      <c r="G133" s="184">
        <v>0</v>
      </c>
      <c r="H133" s="184">
        <v>0</v>
      </c>
      <c r="I133" s="184">
        <v>0</v>
      </c>
      <c r="J133" s="177" t="b">
        <f>IF(ISBLANK(CertifiedCrop[[#This Row],[1. Identifiant interne d’exploitation agricole*]]),"",IF(ISERROR(MATCH(CertifiedCrop[[#This Row],[1. Identifiant interne d’exploitation agricole*]],GroupMember[1. Identifiant interne d’exploitation agricole*],0)),FALSE,TRUE))</f>
        <v>1</v>
      </c>
      <c r="K133" s="177" t="b">
        <f t="array" ref="K133">IF(ISBLANK(CertifiedCrop[[#This Row],[2. Produit agricole certifié*]]),"",IF(ISERROR(MATCH(1,(#REF!=CertifiedCrop[[#This Row],[2. Produit agricole certifié*]])*(#REF!=CertifiedCrop[[#This Row],[3. Variété**]]),0)),FALSE,TRUE))</f>
        <v>0</v>
      </c>
      <c r="L133" s="185" t="str">
        <f t="shared" si="10"/>
        <v/>
      </c>
      <c r="M133" s="186" t="str">
        <f t="shared" si="11"/>
        <v/>
      </c>
      <c r="N133" s="187" t="str">
        <f t="shared" si="12"/>
        <v/>
      </c>
      <c r="O133" s="188">
        <f t="shared" si="13"/>
        <v>510.67725564251668</v>
      </c>
      <c r="P133" s="188">
        <f t="shared" si="14"/>
        <v>620.9151657726693</v>
      </c>
      <c r="Q133" s="178" t="str">
        <f>IFERROR((VLOOKUP(A133,GM_Table,8,FALSE)-SUMIFS(D:D,A:A,A133,B:B,B133,C:C,C133)),"")</f>
        <v/>
      </c>
      <c r="R133" s="178" t="str">
        <f>IFERROR(CONCATENATE(VLOOKUP(A133,GM_Table,12,FALSE)," ",(VLOOKUP(A133,GM_Table,13,FALSE))),"")</f>
        <v/>
      </c>
      <c r="T133" s="203">
        <v>620.9151657726693</v>
      </c>
      <c r="U133" s="203">
        <v>0</v>
      </c>
      <c r="V133" s="204" t="s">
        <v>2597</v>
      </c>
      <c r="W133" s="203">
        <v>554.3885408684547</v>
      </c>
      <c r="X133" s="205">
        <v>-10.714285714285719</v>
      </c>
      <c r="Y133" s="204" t="s">
        <v>2597</v>
      </c>
      <c r="Z133" s="204" t="s">
        <v>2597</v>
      </c>
      <c r="AA133" s="204" t="s">
        <v>2597</v>
      </c>
      <c r="AB133" s="204" t="s">
        <v>2597</v>
      </c>
      <c r="AC133" s="204" t="s">
        <v>2597</v>
      </c>
    </row>
    <row r="134" spans="1:29" ht="15">
      <c r="A134" s="182" t="s">
        <v>1172</v>
      </c>
      <c r="B134" s="182" t="s">
        <v>1830</v>
      </c>
      <c r="C134" s="182"/>
      <c r="D134" s="183">
        <v>1.6841999999999999</v>
      </c>
      <c r="E134" s="183">
        <v>861.02469063200306</v>
      </c>
      <c r="F134" s="183">
        <v>1044.8417384922973</v>
      </c>
      <c r="G134" s="184">
        <v>0</v>
      </c>
      <c r="H134" s="184">
        <v>0</v>
      </c>
      <c r="I134" s="184">
        <v>0</v>
      </c>
      <c r="J134" s="177" t="b">
        <f>IF(ISBLANK(CertifiedCrop[[#This Row],[1. Identifiant interne d’exploitation agricole*]]),"",IF(ISERROR(MATCH(CertifiedCrop[[#This Row],[1. Identifiant interne d’exploitation agricole*]],GroupMember[1. Identifiant interne d’exploitation agricole*],0)),FALSE,TRUE))</f>
        <v>1</v>
      </c>
      <c r="K134" s="177" t="b">
        <f t="array" ref="K134">IF(ISBLANK(CertifiedCrop[[#This Row],[2. Produit agricole certifié*]]),"",IF(ISERROR(MATCH(1,(#REF!=CertifiedCrop[[#This Row],[2. Produit agricole certifié*]])*(#REF!=CertifiedCrop[[#This Row],[3. Variété**]]),0)),FALSE,TRUE))</f>
        <v>0</v>
      </c>
      <c r="L134" s="185" t="str">
        <f t="shared" si="10"/>
        <v/>
      </c>
      <c r="M134" s="186" t="str">
        <f t="shared" si="11"/>
        <v/>
      </c>
      <c r="N134" s="187" t="str">
        <f t="shared" si="12"/>
        <v/>
      </c>
      <c r="O134" s="188">
        <f t="shared" si="13"/>
        <v>511.23660529153489</v>
      </c>
      <c r="P134" s="188">
        <f t="shared" si="14"/>
        <v>620.37865959642397</v>
      </c>
      <c r="Q134" s="178" t="str">
        <f>IFERROR((VLOOKUP(A134,GM_Table,8,FALSE)-SUMIFS(D:D,A:A,A134,B:B,B134,C:C,C134)),"")</f>
        <v/>
      </c>
      <c r="R134" s="178" t="str">
        <f>IFERROR(CONCATENATE(VLOOKUP(A134,GM_Table,12,FALSE)," ",(VLOOKUP(A134,GM_Table,13,FALSE))),"")</f>
        <v/>
      </c>
      <c r="T134" s="203">
        <v>620.37865959642397</v>
      </c>
      <c r="U134" s="203">
        <v>0</v>
      </c>
      <c r="V134" s="204" t="s">
        <v>2597</v>
      </c>
      <c r="W134" s="203">
        <v>553.9095174968071</v>
      </c>
      <c r="X134" s="205">
        <v>-10.714285714285717</v>
      </c>
      <c r="Y134" s="204" t="s">
        <v>2597</v>
      </c>
      <c r="Z134" s="204" t="s">
        <v>2597</v>
      </c>
      <c r="AA134" s="204" t="s">
        <v>2597</v>
      </c>
      <c r="AB134" s="204" t="s">
        <v>2597</v>
      </c>
      <c r="AC134" s="204" t="s">
        <v>2597</v>
      </c>
    </row>
    <row r="135" spans="1:29" ht="15">
      <c r="A135" s="182" t="s">
        <v>1176</v>
      </c>
      <c r="B135" s="182" t="s">
        <v>1830</v>
      </c>
      <c r="C135" s="182"/>
      <c r="D135" s="183">
        <v>5.2316000000000003</v>
      </c>
      <c r="E135" s="183">
        <v>2677.3215917179014</v>
      </c>
      <c r="F135" s="183">
        <v>3259.9344431625482</v>
      </c>
      <c r="G135" s="184">
        <v>0</v>
      </c>
      <c r="H135" s="184">
        <v>0</v>
      </c>
      <c r="I135" s="184">
        <v>0</v>
      </c>
      <c r="J135" s="177" t="b">
        <f>IF(ISBLANK(CertifiedCrop[[#This Row],[1. Identifiant interne d’exploitation agricole*]]),"",IF(ISERROR(MATCH(CertifiedCrop[[#This Row],[1. Identifiant interne d’exploitation agricole*]],GroupMember[1. Identifiant interne d’exploitation agricole*],0)),FALSE,TRUE))</f>
        <v>1</v>
      </c>
      <c r="K135" s="177" t="b">
        <f t="array" ref="K135">IF(ISBLANK(CertifiedCrop[[#This Row],[2. Produit agricole certifié*]]),"",IF(ISERROR(MATCH(1,(#REF!=CertifiedCrop[[#This Row],[2. Produit agricole certifié*]])*(#REF!=CertifiedCrop[[#This Row],[3. Variété**]]),0)),FALSE,TRUE))</f>
        <v>0</v>
      </c>
      <c r="L135" s="185" t="str">
        <f t="shared" si="10"/>
        <v/>
      </c>
      <c r="M135" s="186" t="str">
        <f t="shared" si="11"/>
        <v/>
      </c>
      <c r="N135" s="187" t="str">
        <f t="shared" si="12"/>
        <v/>
      </c>
      <c r="O135" s="188">
        <f t="shared" si="13"/>
        <v>511.75961306634707</v>
      </c>
      <c r="P135" s="188">
        <f t="shared" si="14"/>
        <v>623.12379447254148</v>
      </c>
      <c r="Q135" s="178" t="str">
        <f>IFERROR((VLOOKUP(A135,GM_Table,8,FALSE)-SUMIFS(D:D,A:A,A135,B:B,B135,C:C,C135)),"")</f>
        <v/>
      </c>
      <c r="R135" s="178" t="str">
        <f>IFERROR(CONCATENATE(VLOOKUP(A135,GM_Table,12,FALSE)," ",(VLOOKUP(A135,GM_Table,13,FALSE))),"")</f>
        <v/>
      </c>
      <c r="T135" s="203">
        <v>623.12379447254148</v>
      </c>
      <c r="U135" s="203">
        <v>0</v>
      </c>
      <c r="V135" s="204" t="s">
        <v>2597</v>
      </c>
      <c r="W135" s="203">
        <v>556.3605307790549</v>
      </c>
      <c r="X135" s="205">
        <v>-10.714285714285712</v>
      </c>
      <c r="Y135" s="204" t="s">
        <v>2597</v>
      </c>
      <c r="Z135" s="204" t="s">
        <v>2597</v>
      </c>
      <c r="AA135" s="204" t="s">
        <v>2597</v>
      </c>
      <c r="AB135" s="204" t="s">
        <v>2597</v>
      </c>
      <c r="AC135" s="204" t="s">
        <v>2597</v>
      </c>
    </row>
    <row r="136" spans="1:29" ht="15">
      <c r="A136" s="182" t="s">
        <v>1181</v>
      </c>
      <c r="B136" s="182" t="s">
        <v>1830</v>
      </c>
      <c r="C136" s="182"/>
      <c r="D136" s="183">
        <v>1.032</v>
      </c>
      <c r="E136" s="183">
        <v>529.12709837920011</v>
      </c>
      <c r="F136" s="183">
        <v>639.70992508567053</v>
      </c>
      <c r="G136" s="184">
        <v>0</v>
      </c>
      <c r="H136" s="184">
        <v>0</v>
      </c>
      <c r="I136" s="184">
        <v>0</v>
      </c>
      <c r="J136" s="177" t="b">
        <f>IF(ISBLANK(CertifiedCrop[[#This Row],[1. Identifiant interne d’exploitation agricole*]]),"",IF(ISERROR(MATCH(CertifiedCrop[[#This Row],[1. Identifiant interne d’exploitation agricole*]],GroupMember[1. Identifiant interne d’exploitation agricole*],0)),FALSE,TRUE))</f>
        <v>1</v>
      </c>
      <c r="K136" s="177" t="b">
        <f t="array" ref="K136">IF(ISBLANK(CertifiedCrop[[#This Row],[2. Produit agricole certifié*]]),"",IF(ISERROR(MATCH(1,(#REF!=CertifiedCrop[[#This Row],[2. Produit agricole certifié*]])*(#REF!=CertifiedCrop[[#This Row],[3. Variété**]]),0)),FALSE,TRUE))</f>
        <v>0</v>
      </c>
      <c r="L136" s="185" t="str">
        <f t="shared" si="10"/>
        <v/>
      </c>
      <c r="M136" s="186" t="str">
        <f t="shared" si="11"/>
        <v/>
      </c>
      <c r="N136" s="187" t="str">
        <f t="shared" si="12"/>
        <v/>
      </c>
      <c r="O136" s="188">
        <f t="shared" si="13"/>
        <v>512.72005656899239</v>
      </c>
      <c r="P136" s="188">
        <f t="shared" si="14"/>
        <v>619.87395841634736</v>
      </c>
      <c r="Q136" s="178" t="str">
        <f>IFERROR((VLOOKUP(A136,GM_Table,8,FALSE)-SUMIFS(D:D,A:A,A136,B:B,B136,C:C,C136)),"")</f>
        <v/>
      </c>
      <c r="R136" s="178" t="str">
        <f>IFERROR(CONCATENATE(VLOOKUP(A136,GM_Table,12,FALSE)," ",(VLOOKUP(A136,GM_Table,13,FALSE))),"")</f>
        <v/>
      </c>
      <c r="T136" s="203">
        <v>619.87395841634736</v>
      </c>
      <c r="U136" s="203">
        <v>0</v>
      </c>
      <c r="V136" s="204" t="s">
        <v>2597</v>
      </c>
      <c r="W136" s="203">
        <v>553.45889144316732</v>
      </c>
      <c r="X136" s="205">
        <v>-10.71428571428571</v>
      </c>
      <c r="Y136" s="204" t="s">
        <v>2597</v>
      </c>
      <c r="Z136" s="204" t="s">
        <v>2597</v>
      </c>
      <c r="AA136" s="204" t="s">
        <v>2597</v>
      </c>
      <c r="AB136" s="204" t="s">
        <v>2597</v>
      </c>
      <c r="AC136" s="204" t="s">
        <v>2597</v>
      </c>
    </row>
    <row r="137" spans="1:29" ht="15">
      <c r="A137" s="182" t="s">
        <v>1185</v>
      </c>
      <c r="B137" s="182" t="s">
        <v>1830</v>
      </c>
      <c r="C137" s="182"/>
      <c r="D137" s="183">
        <v>1.8035000000000001</v>
      </c>
      <c r="E137" s="183">
        <v>925.04190107335376</v>
      </c>
      <c r="F137" s="183">
        <v>1119.0194110019413</v>
      </c>
      <c r="G137" s="184">
        <v>0</v>
      </c>
      <c r="H137" s="184">
        <v>0</v>
      </c>
      <c r="I137" s="184">
        <v>0</v>
      </c>
      <c r="J137" s="177" t="b">
        <f>IF(ISBLANK(CertifiedCrop[[#This Row],[1. Identifiant interne d’exploitation agricole*]]),"",IF(ISERROR(MATCH(CertifiedCrop[[#This Row],[1. Identifiant interne d’exploitation agricole*]],GroupMember[1. Identifiant interne d’exploitation agricole*],0)),FALSE,TRUE))</f>
        <v>1</v>
      </c>
      <c r="K137" s="177" t="b">
        <f t="array" ref="K137">IF(ISBLANK(CertifiedCrop[[#This Row],[2. Produit agricole certifié*]]),"",IF(ISERROR(MATCH(1,(#REF!=CertifiedCrop[[#This Row],[2. Produit agricole certifié*]])*(#REF!=CertifiedCrop[[#This Row],[3. Variété**]]),0)),FALSE,TRUE))</f>
        <v>0</v>
      </c>
      <c r="L137" s="185" t="str">
        <f t="shared" si="10"/>
        <v/>
      </c>
      <c r="M137" s="186" t="str">
        <f t="shared" si="11"/>
        <v/>
      </c>
      <c r="N137" s="187" t="str">
        <f t="shared" si="12"/>
        <v/>
      </c>
      <c r="O137" s="188">
        <f t="shared" si="13"/>
        <v>512.91483286573532</v>
      </c>
      <c r="P137" s="188">
        <f t="shared" si="14"/>
        <v>620.47097920817373</v>
      </c>
      <c r="Q137" s="178" t="str">
        <f>IFERROR((VLOOKUP(A137,GM_Table,8,FALSE)-SUMIFS(D:D,A:A,A137,B:B,B137,C:C,C137)),"")</f>
        <v/>
      </c>
      <c r="R137" s="178" t="str">
        <f>IFERROR(CONCATENATE(VLOOKUP(A137,GM_Table,12,FALSE)," ",(VLOOKUP(A137,GM_Table,13,FALSE))),"")</f>
        <v/>
      </c>
      <c r="T137" s="203">
        <v>620.47097920817373</v>
      </c>
      <c r="U137" s="203">
        <v>0</v>
      </c>
      <c r="V137" s="204" t="s">
        <v>2597</v>
      </c>
      <c r="W137" s="203">
        <v>553.99194572158365</v>
      </c>
      <c r="X137" s="205">
        <v>-10.714285714285721</v>
      </c>
      <c r="Y137" s="204" t="s">
        <v>2597</v>
      </c>
      <c r="Z137" s="204" t="s">
        <v>2597</v>
      </c>
      <c r="AA137" s="204" t="s">
        <v>2597</v>
      </c>
      <c r="AB137" s="204" t="s">
        <v>2597</v>
      </c>
      <c r="AC137" s="204" t="s">
        <v>2597</v>
      </c>
    </row>
    <row r="138" spans="1:29" ht="15">
      <c r="A138" s="182" t="s">
        <v>1188</v>
      </c>
      <c r="B138" s="182" t="s">
        <v>1830</v>
      </c>
      <c r="C138" s="182"/>
      <c r="D138" s="183">
        <v>2.5619999999999998</v>
      </c>
      <c r="E138" s="183">
        <v>1316.8324719948789</v>
      </c>
      <c r="F138" s="183">
        <v>1591.1504423454401</v>
      </c>
      <c r="G138" s="184">
        <v>0</v>
      </c>
      <c r="H138" s="184">
        <v>0</v>
      </c>
      <c r="I138" s="184">
        <v>0</v>
      </c>
      <c r="J138" s="177" t="b">
        <f>IF(ISBLANK(CertifiedCrop[[#This Row],[1. Identifiant interne d’exploitation agricole*]]),"",IF(ISERROR(MATCH(CertifiedCrop[[#This Row],[1. Identifiant interne d’exploitation agricole*]],GroupMember[1. Identifiant interne d’exploitation agricole*],0)),FALSE,TRUE))</f>
        <v>1</v>
      </c>
      <c r="K138" s="177" t="b">
        <f t="array" ref="K138">IF(ISBLANK(CertifiedCrop[[#This Row],[2. Produit agricole certifié*]]),"",IF(ISERROR(MATCH(1,(#REF!=CertifiedCrop[[#This Row],[2. Produit agricole certifié*]])*(#REF!=CertifiedCrop[[#This Row],[3. Variété**]]),0)),FALSE,TRUE))</f>
        <v>0</v>
      </c>
      <c r="L138" s="185" t="str">
        <f t="shared" si="10"/>
        <v/>
      </c>
      <c r="M138" s="186" t="str">
        <f t="shared" si="11"/>
        <v/>
      </c>
      <c r="N138" s="187" t="str">
        <f t="shared" si="12"/>
        <v/>
      </c>
      <c r="O138" s="188">
        <f t="shared" si="13"/>
        <v>513.98613270682245</v>
      </c>
      <c r="P138" s="188">
        <f t="shared" si="14"/>
        <v>621.05794002554262</v>
      </c>
      <c r="Q138" s="178" t="str">
        <f>IFERROR((VLOOKUP(A138,GM_Table,8,FALSE)-SUMIFS(D:D,A:A,A138,B:B,B138,C:C,C138)),"")</f>
        <v/>
      </c>
      <c r="R138" s="178" t="str">
        <f>IFERROR(CONCATENATE(VLOOKUP(A138,GM_Table,12,FALSE)," ",(VLOOKUP(A138,GM_Table,13,FALSE))),"")</f>
        <v/>
      </c>
      <c r="T138" s="203">
        <v>621.05794002554262</v>
      </c>
      <c r="U138" s="203">
        <v>0</v>
      </c>
      <c r="V138" s="204" t="s">
        <v>2597</v>
      </c>
      <c r="W138" s="203">
        <v>554.51601787994878</v>
      </c>
      <c r="X138" s="205">
        <v>-10.714285714285712</v>
      </c>
      <c r="Y138" s="204" t="s">
        <v>2597</v>
      </c>
      <c r="Z138" s="204" t="s">
        <v>2597</v>
      </c>
      <c r="AA138" s="204" t="s">
        <v>2597</v>
      </c>
      <c r="AB138" s="204" t="s">
        <v>2597</v>
      </c>
      <c r="AC138" s="204" t="s">
        <v>2597</v>
      </c>
    </row>
    <row r="139" spans="1:29" ht="15">
      <c r="A139" s="182" t="s">
        <v>1192</v>
      </c>
      <c r="B139" s="182" t="s">
        <v>1830</v>
      </c>
      <c r="C139" s="182"/>
      <c r="D139" s="183">
        <v>0.7389</v>
      </c>
      <c r="E139" s="183">
        <v>379.96950966613389</v>
      </c>
      <c r="F139" s="183">
        <v>400.67792808097465</v>
      </c>
      <c r="G139" s="184">
        <v>0</v>
      </c>
      <c r="H139" s="184">
        <v>0</v>
      </c>
      <c r="I139" s="184">
        <v>0</v>
      </c>
      <c r="J139" s="177" t="b">
        <f>IF(ISBLANK(CertifiedCrop[[#This Row],[1. Identifiant interne d’exploitation agricole*]]),"",IF(ISERROR(MATCH(CertifiedCrop[[#This Row],[1. Identifiant interne d’exploitation agricole*]],GroupMember[1. Identifiant interne d’exploitation agricole*],0)),FALSE,TRUE))</f>
        <v>1</v>
      </c>
      <c r="K139" s="177" t="b">
        <f t="array" ref="K139">IF(ISBLANK(CertifiedCrop[[#This Row],[2. Produit agricole certifié*]]),"",IF(ISERROR(MATCH(1,(#REF!=CertifiedCrop[[#This Row],[2. Produit agricole certifié*]])*(#REF!=CertifiedCrop[[#This Row],[3. Variété**]]),0)),FALSE,TRUE))</f>
        <v>0</v>
      </c>
      <c r="L139" s="185" t="str">
        <f t="shared" si="10"/>
        <v/>
      </c>
      <c r="M139" s="186" t="str">
        <f t="shared" si="11"/>
        <v/>
      </c>
      <c r="N139" s="187" t="str">
        <f t="shared" si="12"/>
        <v/>
      </c>
      <c r="O139" s="188">
        <f t="shared" si="13"/>
        <v>514.23671628925956</v>
      </c>
      <c r="P139" s="188">
        <f t="shared" si="14"/>
        <v>542.26272578288626</v>
      </c>
      <c r="Q139" s="178" t="str">
        <f>IFERROR((VLOOKUP(A139,GM_Table,8,FALSE)-SUMIFS(D:D,A:A,A139,B:B,B139,C:C,C139)),"")</f>
        <v/>
      </c>
      <c r="R139" s="178" t="str">
        <f>IFERROR(CONCATENATE(VLOOKUP(A139,GM_Table,12,FALSE)," ",(VLOOKUP(A139,GM_Table,13,FALSE))),"")</f>
        <v/>
      </c>
      <c r="T139" s="203">
        <v>542.26272578288626</v>
      </c>
      <c r="U139" s="203">
        <v>0</v>
      </c>
      <c r="V139" s="204" t="s">
        <v>2597</v>
      </c>
      <c r="W139" s="203">
        <v>484.16314802043416</v>
      </c>
      <c r="X139" s="205">
        <v>-10.714285714285714</v>
      </c>
      <c r="Y139" s="204" t="s">
        <v>2597</v>
      </c>
      <c r="Z139" s="204" t="s">
        <v>2597</v>
      </c>
      <c r="AA139" s="204" t="s">
        <v>2597</v>
      </c>
      <c r="AB139" s="204" t="s">
        <v>2597</v>
      </c>
      <c r="AC139" s="204" t="s">
        <v>2597</v>
      </c>
    </row>
    <row r="140" spans="1:29" ht="15">
      <c r="A140" s="182" t="s">
        <v>1197</v>
      </c>
      <c r="B140" s="182" t="s">
        <v>1830</v>
      </c>
      <c r="C140" s="182"/>
      <c r="D140" s="183">
        <v>2.1417000000000002</v>
      </c>
      <c r="E140" s="183">
        <v>1101.3931634658452</v>
      </c>
      <c r="F140" s="183">
        <v>1329.423209268236</v>
      </c>
      <c r="G140" s="184">
        <v>0</v>
      </c>
      <c r="H140" s="184">
        <v>0</v>
      </c>
      <c r="I140" s="184">
        <v>0</v>
      </c>
      <c r="J140" s="177" t="b">
        <f>IF(ISBLANK(CertifiedCrop[[#This Row],[1. Identifiant interne d’exploitation agricole*]]),"",IF(ISERROR(MATCH(CertifiedCrop[[#This Row],[1. Identifiant interne d’exploitation agricole*]],GroupMember[1. Identifiant interne d’exploitation agricole*],0)),FALSE,TRUE))</f>
        <v>1</v>
      </c>
      <c r="K140" s="177" t="b">
        <f t="array" ref="K140">IF(ISBLANK(CertifiedCrop[[#This Row],[2. Produit agricole certifié*]]),"",IF(ISERROR(MATCH(1,(#REF!=CertifiedCrop[[#This Row],[2. Produit agricole certifié*]])*(#REF!=CertifiedCrop[[#This Row],[3. Variété**]]),0)),FALSE,TRUE))</f>
        <v>0</v>
      </c>
      <c r="L140" s="185" t="str">
        <f t="shared" si="10"/>
        <v/>
      </c>
      <c r="M140" s="186" t="str">
        <f t="shared" si="11"/>
        <v/>
      </c>
      <c r="N140" s="187" t="str">
        <f t="shared" si="12"/>
        <v/>
      </c>
      <c r="O140" s="188">
        <f t="shared" si="13"/>
        <v>514.26117731981378</v>
      </c>
      <c r="P140" s="188">
        <f t="shared" si="14"/>
        <v>620.73269331289907</v>
      </c>
      <c r="Q140" s="178" t="str">
        <f>IFERROR((VLOOKUP(A140,GM_Table,8,FALSE)-SUMIFS(D:D,A:A,A140,B:B,B140,C:C,C140)),"")</f>
        <v/>
      </c>
      <c r="R140" s="178" t="str">
        <f>IFERROR(CONCATENATE(VLOOKUP(A140,GM_Table,12,FALSE)," ",(VLOOKUP(A140,GM_Table,13,FALSE))),"")</f>
        <v/>
      </c>
      <c r="T140" s="203">
        <v>620.73269331289907</v>
      </c>
      <c r="U140" s="203">
        <v>0</v>
      </c>
      <c r="V140" s="204" t="s">
        <v>2597</v>
      </c>
      <c r="W140" s="203">
        <v>554.22561902937423</v>
      </c>
      <c r="X140" s="205">
        <v>-10.714285714285705</v>
      </c>
      <c r="Y140" s="204" t="s">
        <v>2597</v>
      </c>
      <c r="Z140" s="204" t="s">
        <v>2597</v>
      </c>
      <c r="AA140" s="204" t="s">
        <v>2597</v>
      </c>
      <c r="AB140" s="204" t="s">
        <v>2597</v>
      </c>
      <c r="AC140" s="204" t="s">
        <v>2597</v>
      </c>
    </row>
    <row r="141" spans="1:29" ht="15">
      <c r="A141" s="182" t="s">
        <v>1200</v>
      </c>
      <c r="B141" s="182" t="s">
        <v>1830</v>
      </c>
      <c r="C141" s="182"/>
      <c r="D141" s="183">
        <v>2.3812000000000002</v>
      </c>
      <c r="E141" s="183">
        <v>1224.7965064248572</v>
      </c>
      <c r="F141" s="183">
        <v>1478.5300106456771</v>
      </c>
      <c r="G141" s="184">
        <v>0</v>
      </c>
      <c r="H141" s="184">
        <v>0</v>
      </c>
      <c r="I141" s="184">
        <v>0</v>
      </c>
      <c r="J141" s="177" t="b">
        <f>IF(ISBLANK(CertifiedCrop[[#This Row],[1. Identifiant interne d’exploitation agricole*]]),"",IF(ISERROR(MATCH(CertifiedCrop[[#This Row],[1. Identifiant interne d’exploitation agricole*]],GroupMember[1. Identifiant interne d’exploitation agricole*],0)),FALSE,TRUE))</f>
        <v>1</v>
      </c>
      <c r="K141" s="177" t="b">
        <f t="array" ref="K141">IF(ISBLANK(CertifiedCrop[[#This Row],[2. Produit agricole certifié*]]),"",IF(ISERROR(MATCH(1,(#REF!=CertifiedCrop[[#This Row],[2. Produit agricole certifié*]])*(#REF!=CertifiedCrop[[#This Row],[3. Variété**]]),0)),FALSE,TRUE))</f>
        <v>0</v>
      </c>
      <c r="L141" s="185" t="str">
        <f t="shared" si="10"/>
        <v/>
      </c>
      <c r="M141" s="186" t="str">
        <f t="shared" si="11"/>
        <v/>
      </c>
      <c r="N141" s="187" t="str">
        <f t="shared" si="12"/>
        <v/>
      </c>
      <c r="O141" s="188">
        <f t="shared" si="13"/>
        <v>514.36103915036836</v>
      </c>
      <c r="P141" s="188">
        <f t="shared" si="14"/>
        <v>620.91802899616869</v>
      </c>
      <c r="Q141" s="178" t="str">
        <f>IFERROR((VLOOKUP(A141,GM_Table,8,FALSE)-SUMIFS(D:D,A:A,A141,B:B,B141,C:C,C141)),"")</f>
        <v/>
      </c>
      <c r="R141" s="178" t="str">
        <f>IFERROR(CONCATENATE(VLOOKUP(A141,GM_Table,12,FALSE)," ",(VLOOKUP(A141,GM_Table,13,FALSE))),"")</f>
        <v/>
      </c>
      <c r="T141" s="203">
        <v>620.91802899616869</v>
      </c>
      <c r="U141" s="203">
        <v>0</v>
      </c>
      <c r="V141" s="204" t="s">
        <v>2597</v>
      </c>
      <c r="W141" s="203">
        <v>554.39109731800772</v>
      </c>
      <c r="X141" s="205">
        <v>-10.714285714285719</v>
      </c>
      <c r="Y141" s="204" t="s">
        <v>2597</v>
      </c>
      <c r="Z141" s="204" t="s">
        <v>2597</v>
      </c>
      <c r="AA141" s="204" t="s">
        <v>2597</v>
      </c>
      <c r="AB141" s="204" t="s">
        <v>2597</v>
      </c>
      <c r="AC141" s="204" t="s">
        <v>2597</v>
      </c>
    </row>
    <row r="142" spans="1:29" ht="15">
      <c r="A142" s="182" t="s">
        <v>1204</v>
      </c>
      <c r="B142" s="182" t="s">
        <v>1830</v>
      </c>
      <c r="C142" s="182"/>
      <c r="D142" s="183">
        <v>2.4075000000000002</v>
      </c>
      <c r="E142" s="183">
        <v>1238.8065595165958</v>
      </c>
      <c r="F142" s="183">
        <v>1494.9091524942532</v>
      </c>
      <c r="G142" s="184">
        <v>0</v>
      </c>
      <c r="H142" s="184">
        <v>0</v>
      </c>
      <c r="I142" s="184">
        <v>0</v>
      </c>
      <c r="J142" s="177" t="b">
        <f>IF(ISBLANK(CertifiedCrop[[#This Row],[1. Identifiant interne d’exploitation agricole*]]),"",IF(ISERROR(MATCH(CertifiedCrop[[#This Row],[1. Identifiant interne d’exploitation agricole*]],GroupMember[1. Identifiant interne d’exploitation agricole*],0)),FALSE,TRUE))</f>
        <v>1</v>
      </c>
      <c r="K142" s="177" t="b">
        <f t="array" ref="K142">IF(ISBLANK(CertifiedCrop[[#This Row],[2. Produit agricole certifié*]]),"",IF(ISERROR(MATCH(1,(#REF!=CertifiedCrop[[#This Row],[2. Produit agricole certifié*]])*(#REF!=CertifiedCrop[[#This Row],[3. Variété**]]),0)),FALSE,TRUE))</f>
        <v>0</v>
      </c>
      <c r="L142" s="185" t="str">
        <f t="shared" si="10"/>
        <v/>
      </c>
      <c r="M142" s="186" t="str">
        <f t="shared" si="11"/>
        <v/>
      </c>
      <c r="N142" s="187" t="str">
        <f t="shared" si="12"/>
        <v/>
      </c>
      <c r="O142" s="188">
        <f t="shared" si="13"/>
        <v>514.56139543783831</v>
      </c>
      <c r="P142" s="188">
        <f t="shared" si="14"/>
        <v>620.93838109833985</v>
      </c>
      <c r="Q142" s="178" t="str">
        <f>IFERROR((VLOOKUP(A142,GM_Table,8,FALSE)-SUMIFS(D:D,A:A,A142,B:B,B142,C:C,C142)),"")</f>
        <v/>
      </c>
      <c r="R142" s="178" t="str">
        <f>IFERROR(CONCATENATE(VLOOKUP(A142,GM_Table,12,FALSE)," ",(VLOOKUP(A142,GM_Table,13,FALSE))),"")</f>
        <v/>
      </c>
      <c r="T142" s="203">
        <v>620.93838109833985</v>
      </c>
      <c r="U142" s="203">
        <v>0</v>
      </c>
      <c r="V142" s="204" t="s">
        <v>2597</v>
      </c>
      <c r="W142" s="203">
        <v>554.40926883780344</v>
      </c>
      <c r="X142" s="205">
        <v>-10.714285714285714</v>
      </c>
      <c r="Y142" s="204" t="s">
        <v>2597</v>
      </c>
      <c r="Z142" s="204" t="s">
        <v>2597</v>
      </c>
      <c r="AA142" s="204" t="s">
        <v>2597</v>
      </c>
      <c r="AB142" s="204" t="s">
        <v>2597</v>
      </c>
      <c r="AC142" s="204" t="s">
        <v>2597</v>
      </c>
    </row>
    <row r="143" spans="1:29" ht="15">
      <c r="A143" s="182" t="s">
        <v>1207</v>
      </c>
      <c r="B143" s="182" t="s">
        <v>1830</v>
      </c>
      <c r="C143" s="182"/>
      <c r="D143" s="183">
        <v>1.0468</v>
      </c>
      <c r="E143" s="183">
        <v>539.19298769137208</v>
      </c>
      <c r="F143" s="183">
        <v>648.89604855966888</v>
      </c>
      <c r="G143" s="184">
        <v>0</v>
      </c>
      <c r="H143" s="184">
        <v>0</v>
      </c>
      <c r="I143" s="184">
        <v>0</v>
      </c>
      <c r="J143" s="177" t="b">
        <f>IF(ISBLANK(CertifiedCrop[[#This Row],[1. Identifiant interne d’exploitation agricole*]]),"",IF(ISERROR(MATCH(CertifiedCrop[[#This Row],[1. Identifiant interne d’exploitation agricole*]],GroupMember[1. Identifiant interne d’exploitation agricole*],0)),FALSE,TRUE))</f>
        <v>1</v>
      </c>
      <c r="K143" s="177" t="b">
        <f t="array" ref="K143">IF(ISBLANK(CertifiedCrop[[#This Row],[2. Produit agricole certifié*]]),"",IF(ISERROR(MATCH(1,(#REF!=CertifiedCrop[[#This Row],[2. Produit agricole certifié*]])*(#REF!=CertifiedCrop[[#This Row],[3. Variété**]]),0)),FALSE,TRUE))</f>
        <v>0</v>
      </c>
      <c r="L143" s="185" t="str">
        <f t="shared" si="10"/>
        <v/>
      </c>
      <c r="M143" s="186" t="str">
        <f t="shared" si="11"/>
        <v/>
      </c>
      <c r="N143" s="187" t="str">
        <f t="shared" si="12"/>
        <v/>
      </c>
      <c r="O143" s="188">
        <f t="shared" si="13"/>
        <v>515.08691984273219</v>
      </c>
      <c r="P143" s="188">
        <f t="shared" si="14"/>
        <v>619.88541131034481</v>
      </c>
      <c r="Q143" s="178" t="str">
        <f>IFERROR((VLOOKUP(A143,GM_Table,8,FALSE)-SUMIFS(D:D,A:A,A143,B:B,B143,C:C,C143)),"")</f>
        <v/>
      </c>
      <c r="R143" s="178" t="str">
        <f>IFERROR(CONCATENATE(VLOOKUP(A143,GM_Table,12,FALSE)," ",(VLOOKUP(A143,GM_Table,13,FALSE))),"")</f>
        <v/>
      </c>
      <c r="T143" s="203">
        <v>619.88541131034481</v>
      </c>
      <c r="U143" s="203">
        <v>0</v>
      </c>
      <c r="V143" s="204" t="s">
        <v>2597</v>
      </c>
      <c r="W143" s="203">
        <v>553.46911724137931</v>
      </c>
      <c r="X143" s="205">
        <v>-10.714285714285712</v>
      </c>
      <c r="Y143" s="204" t="s">
        <v>2597</v>
      </c>
      <c r="Z143" s="204" t="s">
        <v>2597</v>
      </c>
      <c r="AA143" s="204" t="s">
        <v>2597</v>
      </c>
      <c r="AB143" s="204" t="s">
        <v>2597</v>
      </c>
      <c r="AC143" s="204" t="s">
        <v>2597</v>
      </c>
    </row>
    <row r="144" spans="1:29" ht="15">
      <c r="A144" s="182" t="s">
        <v>1209</v>
      </c>
      <c r="B144" s="182" t="s">
        <v>1830</v>
      </c>
      <c r="C144" s="182"/>
      <c r="D144" s="183">
        <v>3.1364000000000001</v>
      </c>
      <c r="E144" s="183">
        <v>1620.0647934985473</v>
      </c>
      <c r="F144" s="183">
        <v>1949.280240670962</v>
      </c>
      <c r="G144" s="184">
        <v>0</v>
      </c>
      <c r="H144" s="184">
        <v>0</v>
      </c>
      <c r="I144" s="184">
        <v>0</v>
      </c>
      <c r="J144" s="177" t="b">
        <f>IF(ISBLANK(CertifiedCrop[[#This Row],[1. Identifiant interne d’exploitation agricole*]]),"",IF(ISERROR(MATCH(CertifiedCrop[[#This Row],[1. Identifiant interne d’exploitation agricole*]],GroupMember[1. Identifiant interne d’exploitation agricole*],0)),FALSE,TRUE))</f>
        <v>1</v>
      </c>
      <c r="K144" s="177" t="b">
        <f t="array" ref="K144">IF(ISBLANK(CertifiedCrop[[#This Row],[2. Produit agricole certifié*]]),"",IF(ISERROR(MATCH(1,(#REF!=CertifiedCrop[[#This Row],[2. Produit agricole certifié*]])*(#REF!=CertifiedCrop[[#This Row],[3. Variété**]]),0)),FALSE,TRUE))</f>
        <v>0</v>
      </c>
      <c r="L144" s="185" t="str">
        <f t="shared" si="10"/>
        <v/>
      </c>
      <c r="M144" s="186" t="str">
        <f t="shared" si="11"/>
        <v/>
      </c>
      <c r="N144" s="187" t="str">
        <f t="shared" si="12"/>
        <v/>
      </c>
      <c r="O144" s="188">
        <f t="shared" si="13"/>
        <v>516.53640909914145</v>
      </c>
      <c r="P144" s="188">
        <f t="shared" si="14"/>
        <v>621.50243612771396</v>
      </c>
      <c r="Q144" s="178" t="str">
        <f>IFERROR((VLOOKUP(A144,GM_Table,8,FALSE)-SUMIFS(D:D,A:A,A144,B:B,B144,C:C,C144)),"")</f>
        <v/>
      </c>
      <c r="R144" s="178" t="str">
        <f>IFERROR(CONCATENATE(VLOOKUP(A144,GM_Table,12,FALSE)," ",(VLOOKUP(A144,GM_Table,13,FALSE))),"")</f>
        <v/>
      </c>
      <c r="T144" s="203">
        <v>621.50243612771396</v>
      </c>
      <c r="U144" s="203">
        <v>0</v>
      </c>
      <c r="V144" s="204" t="s">
        <v>2597</v>
      </c>
      <c r="W144" s="203">
        <v>554.91288939974459</v>
      </c>
      <c r="X144" s="205">
        <v>-10.714285714285717</v>
      </c>
      <c r="Y144" s="204" t="s">
        <v>2597</v>
      </c>
      <c r="Z144" s="204" t="s">
        <v>2597</v>
      </c>
      <c r="AA144" s="204" t="s">
        <v>2597</v>
      </c>
      <c r="AB144" s="204" t="s">
        <v>2597</v>
      </c>
      <c r="AC144" s="204" t="s">
        <v>2597</v>
      </c>
    </row>
    <row r="145" spans="1:29" ht="15">
      <c r="A145" s="182" t="s">
        <v>1212</v>
      </c>
      <c r="B145" s="182" t="s">
        <v>1830</v>
      </c>
      <c r="C145" s="182"/>
      <c r="D145" s="183">
        <v>2.1998000000000002</v>
      </c>
      <c r="E145" s="183">
        <v>1136.7202899932572</v>
      </c>
      <c r="F145" s="183">
        <v>1365.5866825218857</v>
      </c>
      <c r="G145" s="184">
        <v>0</v>
      </c>
      <c r="H145" s="184">
        <v>0</v>
      </c>
      <c r="I145" s="184">
        <v>0</v>
      </c>
      <c r="J145" s="177" t="b">
        <f>IF(ISBLANK(CertifiedCrop[[#This Row],[1. Identifiant interne d’exploitation agricole*]]),"",IF(ISERROR(MATCH(CertifiedCrop[[#This Row],[1. Identifiant interne d’exploitation agricole*]],GroupMember[1. Identifiant interne d’exploitation agricole*],0)),FALSE,TRUE))</f>
        <v>1</v>
      </c>
      <c r="K145" s="177" t="b">
        <f t="array" ref="K145">IF(ISBLANK(CertifiedCrop[[#This Row],[2. Produit agricole certifié*]]),"",IF(ISERROR(MATCH(1,(#REF!=CertifiedCrop[[#This Row],[2. Produit agricole certifié*]])*(#REF!=CertifiedCrop[[#This Row],[3. Variété**]]),0)),FALSE,TRUE))</f>
        <v>0</v>
      </c>
      <c r="L145" s="185" t="str">
        <f t="shared" si="10"/>
        <v/>
      </c>
      <c r="M145" s="186" t="str">
        <f t="shared" si="11"/>
        <v/>
      </c>
      <c r="N145" s="187" t="str">
        <f t="shared" si="12"/>
        <v/>
      </c>
      <c r="O145" s="188">
        <f t="shared" si="13"/>
        <v>516.73801708939777</v>
      </c>
      <c r="P145" s="188">
        <f t="shared" si="14"/>
        <v>620.77765366028075</v>
      </c>
      <c r="Q145" s="178" t="str">
        <f>IFERROR((VLOOKUP(A145,GM_Table,8,FALSE)-SUMIFS(D:D,A:A,A145,B:B,B145,C:C,C145)),"")</f>
        <v/>
      </c>
      <c r="R145" s="178" t="str">
        <f>IFERROR(CONCATENATE(VLOOKUP(A145,GM_Table,12,FALSE)," ",(VLOOKUP(A145,GM_Table,13,FALSE))),"")</f>
        <v/>
      </c>
      <c r="T145" s="203">
        <v>620.77765366028075</v>
      </c>
      <c r="U145" s="203">
        <v>0</v>
      </c>
      <c r="V145" s="204" t="s">
        <v>2597</v>
      </c>
      <c r="W145" s="203">
        <v>554.26576219667925</v>
      </c>
      <c r="X145" s="205">
        <v>-10.714285714285712</v>
      </c>
      <c r="Y145" s="204" t="s">
        <v>2597</v>
      </c>
      <c r="Z145" s="204" t="s">
        <v>2597</v>
      </c>
      <c r="AA145" s="204" t="s">
        <v>2597</v>
      </c>
      <c r="AB145" s="204" t="s">
        <v>2597</v>
      </c>
      <c r="AC145" s="204" t="s">
        <v>2597</v>
      </c>
    </row>
    <row r="146" spans="1:29" ht="15">
      <c r="A146" s="182" t="s">
        <v>1217</v>
      </c>
      <c r="B146" s="182" t="s">
        <v>1830</v>
      </c>
      <c r="C146" s="182"/>
      <c r="D146" s="183">
        <v>2.7324999999999999</v>
      </c>
      <c r="E146" s="183">
        <v>1412.8853120122337</v>
      </c>
      <c r="F146" s="183">
        <v>1697.4013483563217</v>
      </c>
      <c r="G146" s="184">
        <v>0</v>
      </c>
      <c r="H146" s="184">
        <v>0</v>
      </c>
      <c r="I146" s="184">
        <v>0</v>
      </c>
      <c r="J146" s="177" t="b">
        <f>IF(ISBLANK(CertifiedCrop[[#This Row],[1. Identifiant interne d’exploitation agricole*]]),"",IF(ISERROR(MATCH(CertifiedCrop[[#This Row],[1. Identifiant interne d’exploitation agricole*]],GroupMember[1. Identifiant interne d’exploitation agricole*],0)),FALSE,TRUE))</f>
        <v>1</v>
      </c>
      <c r="K146" s="177" t="b">
        <f t="array" ref="K146">IF(ISBLANK(CertifiedCrop[[#This Row],[2. Produit agricole certifié*]]),"",IF(ISERROR(MATCH(1,(#REF!=CertifiedCrop[[#This Row],[2. Produit agricole certifié*]])*(#REF!=CertifiedCrop[[#This Row],[3. Variété**]]),0)),FALSE,TRUE))</f>
        <v>0</v>
      </c>
      <c r="L146" s="185" t="str">
        <f t="shared" si="10"/>
        <v/>
      </c>
      <c r="M146" s="186" t="str">
        <f t="shared" si="11"/>
        <v/>
      </c>
      <c r="N146" s="187" t="str">
        <f t="shared" si="12"/>
        <v/>
      </c>
      <c r="O146" s="188">
        <f t="shared" si="13"/>
        <v>517.06690284070771</v>
      </c>
      <c r="P146" s="188">
        <f t="shared" si="14"/>
        <v>621.18988045977005</v>
      </c>
      <c r="Q146" s="178" t="str">
        <f>IFERROR((VLOOKUP(A146,GM_Table,8,FALSE)-SUMIFS(D:D,A:A,A146,B:B,B146,C:C,C146)),"")</f>
        <v/>
      </c>
      <c r="R146" s="178" t="str">
        <f>IFERROR(CONCATENATE(VLOOKUP(A146,GM_Table,12,FALSE)," ",(VLOOKUP(A146,GM_Table,13,FALSE))),"")</f>
        <v/>
      </c>
      <c r="T146" s="203">
        <v>621.18988045977005</v>
      </c>
      <c r="U146" s="203">
        <v>0</v>
      </c>
      <c r="V146" s="204" t="s">
        <v>2597</v>
      </c>
      <c r="W146" s="203">
        <v>554.63382183908038</v>
      </c>
      <c r="X146" s="205">
        <v>-10.714285714285717</v>
      </c>
      <c r="Y146" s="204" t="s">
        <v>2597</v>
      </c>
      <c r="Z146" s="204" t="s">
        <v>2597</v>
      </c>
      <c r="AA146" s="204" t="s">
        <v>2597</v>
      </c>
      <c r="AB146" s="204" t="s">
        <v>2597</v>
      </c>
      <c r="AC146" s="204" t="s">
        <v>2597</v>
      </c>
    </row>
    <row r="147" spans="1:29" ht="15">
      <c r="A147" s="182" t="s">
        <v>1221</v>
      </c>
      <c r="B147" s="182" t="s">
        <v>1830</v>
      </c>
      <c r="C147" s="182"/>
      <c r="D147" s="183">
        <v>1.8401000000000001</v>
      </c>
      <c r="E147" s="183">
        <v>952.12436908302186</v>
      </c>
      <c r="F147" s="183">
        <v>1141.7807654362953</v>
      </c>
      <c r="G147" s="184">
        <v>0</v>
      </c>
      <c r="H147" s="184">
        <v>0</v>
      </c>
      <c r="I147" s="184">
        <v>0</v>
      </c>
      <c r="J147" s="177" t="b">
        <f>IF(ISBLANK(CertifiedCrop[[#This Row],[1. Identifiant interne d’exploitation agricole*]]),"",IF(ISERROR(MATCH(CertifiedCrop[[#This Row],[1. Identifiant interne d’exploitation agricole*]],GroupMember[1. Identifiant interne d’exploitation agricole*],0)),FALSE,TRUE))</f>
        <v>1</v>
      </c>
      <c r="K147" s="177" t="b">
        <f t="array" ref="K147">IF(ISBLANK(CertifiedCrop[[#This Row],[2. Produit agricole certifié*]]),"",IF(ISERROR(MATCH(1,(#REF!=CertifiedCrop[[#This Row],[2. Produit agricole certifié*]])*(#REF!=CertifiedCrop[[#This Row],[3. Variété**]]),0)),FALSE,TRUE))</f>
        <v>0</v>
      </c>
      <c r="L147" s="185" t="str">
        <f t="shared" si="10"/>
        <v/>
      </c>
      <c r="M147" s="186" t="str">
        <f t="shared" si="11"/>
        <v/>
      </c>
      <c r="N147" s="187" t="str">
        <f t="shared" si="12"/>
        <v/>
      </c>
      <c r="O147" s="188">
        <f t="shared" si="13"/>
        <v>517.4307750030008</v>
      </c>
      <c r="P147" s="188">
        <f t="shared" si="14"/>
        <v>620.49930190549162</v>
      </c>
      <c r="Q147" s="178" t="str">
        <f>IFERROR((VLOOKUP(A147,GM_Table,8,FALSE)-SUMIFS(D:D,A:A,A147,B:B,B147,C:C,C147)),"")</f>
        <v/>
      </c>
      <c r="R147" s="178" t="str">
        <f>IFERROR(CONCATENATE(VLOOKUP(A147,GM_Table,12,FALSE)," ",(VLOOKUP(A147,GM_Table,13,FALSE))),"")</f>
        <v/>
      </c>
      <c r="T147" s="203">
        <v>620.49930190549162</v>
      </c>
      <c r="U147" s="203">
        <v>0</v>
      </c>
      <c r="V147" s="204" t="s">
        <v>2597</v>
      </c>
      <c r="W147" s="203">
        <v>554.01723384418904</v>
      </c>
      <c r="X147" s="205">
        <v>-10.714285714285699</v>
      </c>
      <c r="Y147" s="204" t="s">
        <v>2597</v>
      </c>
      <c r="Z147" s="204" t="s">
        <v>2597</v>
      </c>
      <c r="AA147" s="204" t="s">
        <v>2597</v>
      </c>
      <c r="AB147" s="204" t="s">
        <v>2597</v>
      </c>
      <c r="AC147" s="204" t="s">
        <v>2597</v>
      </c>
    </row>
    <row r="148" spans="1:29" ht="15">
      <c r="A148" s="182" t="s">
        <v>1225</v>
      </c>
      <c r="B148" s="182" t="s">
        <v>1830</v>
      </c>
      <c r="C148" s="182"/>
      <c r="D148" s="183">
        <v>8.5104000000000006</v>
      </c>
      <c r="E148" s="183">
        <v>4323</v>
      </c>
      <c r="F148" s="183">
        <v>4780</v>
      </c>
      <c r="G148" s="184">
        <v>0</v>
      </c>
      <c r="H148" s="184">
        <v>0</v>
      </c>
      <c r="I148" s="184">
        <v>0</v>
      </c>
      <c r="J148" s="177" t="b">
        <f>IF(ISBLANK(CertifiedCrop[[#This Row],[1. Identifiant interne d’exploitation agricole*]]),"",IF(ISERROR(MATCH(CertifiedCrop[[#This Row],[1. Identifiant interne d’exploitation agricole*]],GroupMember[1. Identifiant interne d’exploitation agricole*],0)),FALSE,TRUE))</f>
        <v>1</v>
      </c>
      <c r="K148" s="177" t="b">
        <f t="array" ref="K148">IF(ISBLANK(CertifiedCrop[[#This Row],[2. Produit agricole certifié*]]),"",IF(ISERROR(MATCH(1,(#REF!=CertifiedCrop[[#This Row],[2. Produit agricole certifié*]])*(#REF!=CertifiedCrop[[#This Row],[3. Variété**]]),0)),FALSE,TRUE))</f>
        <v>0</v>
      </c>
      <c r="L148" s="185" t="str">
        <f t="shared" si="10"/>
        <v/>
      </c>
      <c r="M148" s="186" t="str">
        <f t="shared" si="11"/>
        <v/>
      </c>
      <c r="N148" s="187" t="str">
        <f t="shared" si="12"/>
        <v/>
      </c>
      <c r="O148" s="188">
        <f t="shared" si="13"/>
        <v>507.96672306824587</v>
      </c>
      <c r="P148" s="188">
        <f t="shared" si="14"/>
        <v>561.66572664034584</v>
      </c>
      <c r="Q148" s="178" t="str">
        <f>IFERROR((VLOOKUP(A148,GM_Table,8,FALSE)-SUMIFS(D:D,A:A,A148,B:B,B148,C:C,C148)),"")</f>
        <v/>
      </c>
      <c r="R148" s="178" t="str">
        <f>IFERROR(CONCATENATE(VLOOKUP(A148,GM_Table,12,FALSE)," ",(VLOOKUP(A148,GM_Table,13,FALSE))),"")</f>
        <v/>
      </c>
      <c r="T148" s="203">
        <v>625.66107479948914</v>
      </c>
      <c r="U148" s="203">
        <v>0</v>
      </c>
      <c r="V148" s="204" t="s">
        <v>2597</v>
      </c>
      <c r="W148" s="203">
        <v>558.62595964240097</v>
      </c>
      <c r="X148" s="205">
        <v>-10.714285714285722</v>
      </c>
      <c r="Y148" s="204" t="s">
        <v>2597</v>
      </c>
      <c r="Z148" s="204" t="s">
        <v>2597</v>
      </c>
      <c r="AA148" s="204" t="s">
        <v>2597</v>
      </c>
      <c r="AB148" s="204" t="s">
        <v>2597</v>
      </c>
      <c r="AC148" s="204" t="s">
        <v>2597</v>
      </c>
    </row>
    <row r="149" spans="1:29" ht="15">
      <c r="A149" s="182" t="s">
        <v>1228</v>
      </c>
      <c r="B149" s="182" t="s">
        <v>1830</v>
      </c>
      <c r="C149" s="182"/>
      <c r="D149" s="183">
        <v>2.5876000000000001</v>
      </c>
      <c r="E149" s="183">
        <v>1341.5646181561438</v>
      </c>
      <c r="F149" s="183">
        <v>1607.1007870302158</v>
      </c>
      <c r="G149" s="184">
        <v>0</v>
      </c>
      <c r="H149" s="184">
        <v>0</v>
      </c>
      <c r="I149" s="184">
        <v>0</v>
      </c>
      <c r="J149" s="177" t="b">
        <f>IF(ISBLANK(CertifiedCrop[[#This Row],[1. Identifiant interne d’exploitation agricole*]]),"",IF(ISERROR(MATCH(CertifiedCrop[[#This Row],[1. Identifiant interne d’exploitation agricole*]],GroupMember[1. Identifiant interne d’exploitation agricole*],0)),FALSE,TRUE))</f>
        <v>1</v>
      </c>
      <c r="K149" s="177" t="b">
        <f t="array" ref="K149">IF(ISBLANK(CertifiedCrop[[#This Row],[2. Produit agricole certifié*]]),"",IF(ISERROR(MATCH(1,(#REF!=CertifiedCrop[[#This Row],[2. Produit agricole certifié*]])*(#REF!=CertifiedCrop[[#This Row],[3. Variété**]]),0)),FALSE,TRUE))</f>
        <v>0</v>
      </c>
      <c r="L149" s="185" t="str">
        <f t="shared" si="10"/>
        <v/>
      </c>
      <c r="M149" s="186" t="str">
        <f t="shared" si="11"/>
        <v/>
      </c>
      <c r="N149" s="187" t="str">
        <f t="shared" si="12"/>
        <v/>
      </c>
      <c r="O149" s="188">
        <f t="shared" si="13"/>
        <v>518.45904241619405</v>
      </c>
      <c r="P149" s="188">
        <f t="shared" si="14"/>
        <v>621.07775043678146</v>
      </c>
      <c r="Q149" s="178" t="str">
        <f>IFERROR((VLOOKUP(A149,GM_Table,8,FALSE)-SUMIFS(D:D,A:A,A149,B:B,B149,C:C,C149)),"")</f>
        <v/>
      </c>
      <c r="R149" s="178" t="str">
        <f>IFERROR(CONCATENATE(VLOOKUP(A149,GM_Table,12,FALSE)," ",(VLOOKUP(A149,GM_Table,13,FALSE))),"")</f>
        <v/>
      </c>
      <c r="T149" s="203">
        <v>621.07775043678146</v>
      </c>
      <c r="U149" s="203">
        <v>0</v>
      </c>
      <c r="V149" s="204" t="s">
        <v>2597</v>
      </c>
      <c r="W149" s="203">
        <v>554.53370574712631</v>
      </c>
      <c r="X149" s="205">
        <v>-10.714285714285714</v>
      </c>
      <c r="Y149" s="204" t="s">
        <v>2597</v>
      </c>
      <c r="Z149" s="204" t="s">
        <v>2597</v>
      </c>
      <c r="AA149" s="204" t="s">
        <v>2597</v>
      </c>
      <c r="AB149" s="204" t="s">
        <v>2597</v>
      </c>
      <c r="AC149" s="204" t="s">
        <v>2597</v>
      </c>
    </row>
    <row r="150" spans="1:29" ht="15">
      <c r="A150" s="182" t="s">
        <v>1231</v>
      </c>
      <c r="B150" s="182" t="s">
        <v>1830</v>
      </c>
      <c r="C150" s="182"/>
      <c r="D150" s="183">
        <v>2.2564000000000002</v>
      </c>
      <c r="E150" s="183">
        <v>1175.3560610081365</v>
      </c>
      <c r="F150" s="183">
        <v>1400.8215270938485</v>
      </c>
      <c r="G150" s="184">
        <v>0</v>
      </c>
      <c r="H150" s="184">
        <v>0</v>
      </c>
      <c r="I150" s="184">
        <v>0</v>
      </c>
      <c r="J150" s="177" t="b">
        <f>IF(ISBLANK(CertifiedCrop[[#This Row],[1. Identifiant interne d’exploitation agricole*]]),"",IF(ISERROR(MATCH(CertifiedCrop[[#This Row],[1. Identifiant interne d’exploitation agricole*]],GroupMember[1. Identifiant interne d’exploitation agricole*],0)),FALSE,TRUE))</f>
        <v>1</v>
      </c>
      <c r="K150" s="177" t="b">
        <f t="array" ref="K150">IF(ISBLANK(CertifiedCrop[[#This Row],[2. Produit agricole certifié*]]),"",IF(ISERROR(MATCH(1,(#REF!=CertifiedCrop[[#This Row],[2. Produit agricole certifié*]])*(#REF!=CertifiedCrop[[#This Row],[3. Variété**]]),0)),FALSE,TRUE))</f>
        <v>0</v>
      </c>
      <c r="L150" s="185" t="str">
        <f t="shared" si="10"/>
        <v/>
      </c>
      <c r="M150" s="186" t="str">
        <f t="shared" si="11"/>
        <v/>
      </c>
      <c r="N150" s="187" t="str">
        <f t="shared" si="12"/>
        <v/>
      </c>
      <c r="O150" s="188">
        <f t="shared" si="13"/>
        <v>520.8988038504416</v>
      </c>
      <c r="P150" s="188">
        <f t="shared" si="14"/>
        <v>620.82145324137934</v>
      </c>
      <c r="Q150" s="178" t="str">
        <f>IFERROR((VLOOKUP(A150,GM_Table,8,FALSE)-SUMIFS(D:D,A:A,A150,B:B,B150,C:C,C150)),"")</f>
        <v/>
      </c>
      <c r="R150" s="178" t="str">
        <f>IFERROR(CONCATENATE(VLOOKUP(A150,GM_Table,12,FALSE)," ",(VLOOKUP(A150,GM_Table,13,FALSE))),"")</f>
        <v/>
      </c>
      <c r="T150" s="203">
        <v>620.82145324137934</v>
      </c>
      <c r="U150" s="203">
        <v>0</v>
      </c>
      <c r="V150" s="204" t="s">
        <v>2597</v>
      </c>
      <c r="W150" s="203">
        <v>554.30486896551724</v>
      </c>
      <c r="X150" s="205">
        <v>-10.714285714285719</v>
      </c>
      <c r="Y150" s="204" t="s">
        <v>2597</v>
      </c>
      <c r="Z150" s="204" t="s">
        <v>2597</v>
      </c>
      <c r="AA150" s="204" t="s">
        <v>2597</v>
      </c>
      <c r="AB150" s="204" t="s">
        <v>2597</v>
      </c>
      <c r="AC150" s="204" t="s">
        <v>2597</v>
      </c>
    </row>
    <row r="151" spans="1:29" ht="15">
      <c r="A151" s="182" t="s">
        <v>1233</v>
      </c>
      <c r="B151" s="182" t="s">
        <v>1830</v>
      </c>
      <c r="C151" s="182"/>
      <c r="D151" s="183">
        <v>2.3047</v>
      </c>
      <c r="E151" s="183">
        <v>1200.6173610389992</v>
      </c>
      <c r="F151" s="183">
        <v>1430.8933453067343</v>
      </c>
      <c r="G151" s="184">
        <v>0</v>
      </c>
      <c r="H151" s="184">
        <v>0</v>
      </c>
      <c r="I151" s="184">
        <v>0</v>
      </c>
      <c r="J151" s="177" t="b">
        <f>IF(ISBLANK(CertifiedCrop[[#This Row],[1. Identifiant interne d’exploitation agricole*]]),"",IF(ISERROR(MATCH(CertifiedCrop[[#This Row],[1. Identifiant interne d’exploitation agricole*]],GroupMember[1. Identifiant interne d’exploitation agricole*],0)),FALSE,TRUE))</f>
        <v>1</v>
      </c>
      <c r="K151" s="177" t="b">
        <f t="array" ref="K151">IF(ISBLANK(CertifiedCrop[[#This Row],[2. Produit agricole certifié*]]),"",IF(ISERROR(MATCH(1,(#REF!=CertifiedCrop[[#This Row],[2. Produit agricole certifié*]])*(#REF!=CertifiedCrop[[#This Row],[3. Variété**]]),0)),FALSE,TRUE))</f>
        <v>0</v>
      </c>
      <c r="L151" s="185" t="str">
        <f t="shared" si="10"/>
        <v/>
      </c>
      <c r="M151" s="186" t="str">
        <f t="shared" si="11"/>
        <v/>
      </c>
      <c r="N151" s="187" t="str">
        <f t="shared" si="12"/>
        <v/>
      </c>
      <c r="O151" s="188">
        <f t="shared" si="13"/>
        <v>520.94301255651465</v>
      </c>
      <c r="P151" s="188">
        <f t="shared" si="14"/>
        <v>620.85882991570895</v>
      </c>
      <c r="Q151" s="178" t="str">
        <f>IFERROR((VLOOKUP(A151,GM_Table,8,FALSE)-SUMIFS(D:D,A:A,A151,B:B,B151,C:C,C151)),"")</f>
        <v/>
      </c>
      <c r="R151" s="178" t="str">
        <f>IFERROR(CONCATENATE(VLOOKUP(A151,GM_Table,12,FALSE)," ",(VLOOKUP(A151,GM_Table,13,FALSE))),"")</f>
        <v/>
      </c>
      <c r="T151" s="203">
        <v>620.85882991570895</v>
      </c>
      <c r="U151" s="203">
        <v>0</v>
      </c>
      <c r="V151" s="204" t="s">
        <v>2597</v>
      </c>
      <c r="W151" s="203">
        <v>554.33824099616868</v>
      </c>
      <c r="X151" s="205">
        <v>-10.714285714285719</v>
      </c>
      <c r="Y151" s="204" t="s">
        <v>2597</v>
      </c>
      <c r="Z151" s="204" t="s">
        <v>2597</v>
      </c>
      <c r="AA151" s="204" t="s">
        <v>2597</v>
      </c>
      <c r="AB151" s="204" t="s">
        <v>2597</v>
      </c>
      <c r="AC151" s="204" t="s">
        <v>2597</v>
      </c>
    </row>
    <row r="152" spans="1:29" ht="15">
      <c r="A152" s="182" t="s">
        <v>1238</v>
      </c>
      <c r="B152" s="182" t="s">
        <v>1830</v>
      </c>
      <c r="C152" s="182"/>
      <c r="D152" s="183">
        <v>2.4141499999999998</v>
      </c>
      <c r="E152" s="183">
        <v>1258.2910609631306</v>
      </c>
      <c r="F152" s="183">
        <v>1499.0508160986167</v>
      </c>
      <c r="G152" s="184">
        <v>0</v>
      </c>
      <c r="H152" s="184">
        <v>0</v>
      </c>
      <c r="I152" s="184">
        <v>0</v>
      </c>
      <c r="J152" s="177" t="b">
        <f>IF(ISBLANK(CertifiedCrop[[#This Row],[1. Identifiant interne d’exploitation agricole*]]),"",IF(ISERROR(MATCH(CertifiedCrop[[#This Row],[1. Identifiant interne d’exploitation agricole*]],GroupMember[1. Identifiant interne d’exploitation agricole*],0)),FALSE,TRUE))</f>
        <v>1</v>
      </c>
      <c r="K152" s="177" t="b">
        <f t="array" ref="K152">IF(ISBLANK(CertifiedCrop[[#This Row],[2. Produit agricole certifié*]]),"",IF(ISERROR(MATCH(1,(#REF!=CertifiedCrop[[#This Row],[2. Produit agricole certifié*]])*(#REF!=CertifiedCrop[[#This Row],[3. Variété**]]),0)),FALSE,TRUE))</f>
        <v>0</v>
      </c>
      <c r="L152" s="185" t="str">
        <f t="shared" si="10"/>
        <v/>
      </c>
      <c r="M152" s="186" t="str">
        <f t="shared" si="11"/>
        <v/>
      </c>
      <c r="N152" s="187" t="str">
        <f t="shared" si="12"/>
        <v/>
      </c>
      <c r="O152" s="188">
        <f t="shared" si="13"/>
        <v>521.21494561776638</v>
      </c>
      <c r="P152" s="188">
        <f t="shared" si="14"/>
        <v>620.94352716219657</v>
      </c>
      <c r="Q152" s="178" t="str">
        <f>IFERROR((VLOOKUP(A152,GM_Table,8,FALSE)-SUMIFS(D:D,A:A,A152,B:B,B152,C:C,C152)),"")</f>
        <v/>
      </c>
      <c r="R152" s="178" t="str">
        <f>IFERROR(CONCATENATE(VLOOKUP(A152,GM_Table,12,FALSE)," ",(VLOOKUP(A152,GM_Table,13,FALSE))),"")</f>
        <v/>
      </c>
      <c r="T152" s="203">
        <v>620.94352716219657</v>
      </c>
      <c r="U152" s="203">
        <v>0</v>
      </c>
      <c r="V152" s="204" t="s">
        <v>2597</v>
      </c>
      <c r="W152" s="203">
        <v>554.41386353767552</v>
      </c>
      <c r="X152" s="205">
        <v>-10.714285714285712</v>
      </c>
      <c r="Y152" s="204" t="s">
        <v>2597</v>
      </c>
      <c r="Z152" s="204" t="s">
        <v>2597</v>
      </c>
      <c r="AA152" s="204" t="s">
        <v>2597</v>
      </c>
      <c r="AB152" s="204" t="s">
        <v>2597</v>
      </c>
      <c r="AC152" s="204" t="s">
        <v>2597</v>
      </c>
    </row>
    <row r="153" spans="1:29" ht="15">
      <c r="A153" s="182" t="s">
        <v>1243</v>
      </c>
      <c r="B153" s="182" t="s">
        <v>1830</v>
      </c>
      <c r="C153" s="182"/>
      <c r="D153" s="183">
        <v>2.1282000000000001</v>
      </c>
      <c r="E153" s="183">
        <v>1109.3314169883997</v>
      </c>
      <c r="F153" s="183">
        <v>1321.0210848232705</v>
      </c>
      <c r="G153" s="184">
        <v>0</v>
      </c>
      <c r="H153" s="184">
        <v>0</v>
      </c>
      <c r="I153" s="184">
        <v>0</v>
      </c>
      <c r="J153" s="177" t="b">
        <f>IF(ISBLANK(CertifiedCrop[[#This Row],[1. Identifiant interne d’exploitation agricole*]]),"",IF(ISERROR(MATCH(CertifiedCrop[[#This Row],[1. Identifiant interne d’exploitation agricole*]],GroupMember[1. Identifiant interne d’exploitation agricole*],0)),FALSE,TRUE))</f>
        <v>1</v>
      </c>
      <c r="K153" s="177" t="b">
        <f t="array" ref="K153">IF(ISBLANK(CertifiedCrop[[#This Row],[2. Produit agricole certifié*]]),"",IF(ISERROR(MATCH(1,(#REF!=CertifiedCrop[[#This Row],[2. Produit agricole certifié*]])*(#REF!=CertifiedCrop[[#This Row],[3. Variété**]]),0)),FALSE,TRUE))</f>
        <v>0</v>
      </c>
      <c r="L153" s="185" t="str">
        <f t="shared" si="10"/>
        <v/>
      </c>
      <c r="M153" s="186" t="str">
        <f t="shared" si="11"/>
        <v/>
      </c>
      <c r="N153" s="187" t="str">
        <f t="shared" si="12"/>
        <v/>
      </c>
      <c r="O153" s="188">
        <f t="shared" si="13"/>
        <v>521.25336762917004</v>
      </c>
      <c r="P153" s="188">
        <f t="shared" si="14"/>
        <v>620.72224641634739</v>
      </c>
      <c r="Q153" s="178" t="str">
        <f>IFERROR((VLOOKUP(A153,GM_Table,8,FALSE)-SUMIFS(D:D,A:A,A153,B:B,B153,C:C,C153)),"")</f>
        <v/>
      </c>
      <c r="R153" s="178" t="str">
        <f>IFERROR(CONCATENATE(VLOOKUP(A153,GM_Table,12,FALSE)," ",(VLOOKUP(A153,GM_Table,13,FALSE))),"")</f>
        <v/>
      </c>
      <c r="T153" s="203">
        <v>620.72224641634739</v>
      </c>
      <c r="U153" s="203">
        <v>0</v>
      </c>
      <c r="V153" s="204" t="s">
        <v>2597</v>
      </c>
      <c r="W153" s="203">
        <v>554.21629144316728</v>
      </c>
      <c r="X153" s="205">
        <v>-10.714285714285719</v>
      </c>
      <c r="Y153" s="204" t="s">
        <v>2597</v>
      </c>
      <c r="Z153" s="204" t="s">
        <v>2597</v>
      </c>
      <c r="AA153" s="204" t="s">
        <v>2597</v>
      </c>
      <c r="AB153" s="204" t="s">
        <v>2597</v>
      </c>
      <c r="AC153" s="204" t="s">
        <v>2597</v>
      </c>
    </row>
    <row r="154" spans="1:29" ht="15">
      <c r="A154" s="182" t="s">
        <v>1246</v>
      </c>
      <c r="B154" s="182" t="s">
        <v>1830</v>
      </c>
      <c r="C154" s="182"/>
      <c r="D154" s="183">
        <v>3.7690999999999999</v>
      </c>
      <c r="E154" s="183">
        <v>1964.719611763175</v>
      </c>
      <c r="F154" s="183">
        <v>2344.3502256522033</v>
      </c>
      <c r="G154" s="184">
        <v>0</v>
      </c>
      <c r="H154" s="184">
        <v>0</v>
      </c>
      <c r="I154" s="184">
        <v>0</v>
      </c>
      <c r="J154" s="177" t="b">
        <f>IF(ISBLANK(CertifiedCrop[[#This Row],[1. Identifiant interne d’exploitation agricole*]]),"",IF(ISERROR(MATCH(CertifiedCrop[[#This Row],[1. Identifiant interne d’exploitation agricole*]],GroupMember[1. Identifiant interne d’exploitation agricole*],0)),FALSE,TRUE))</f>
        <v>1</v>
      </c>
      <c r="K154" s="177" t="b">
        <f t="array" ref="K154">IF(ISBLANK(CertifiedCrop[[#This Row],[2. Produit agricole certifié*]]),"",IF(ISERROR(MATCH(1,(#REF!=CertifiedCrop[[#This Row],[2. Produit agricole certifié*]])*(#REF!=CertifiedCrop[[#This Row],[3. Variété**]]),0)),FALSE,TRUE))</f>
        <v>0</v>
      </c>
      <c r="L154" s="185" t="str">
        <f t="shared" si="10"/>
        <v/>
      </c>
      <c r="M154" s="186" t="str">
        <f t="shared" si="11"/>
        <v/>
      </c>
      <c r="N154" s="187" t="str">
        <f t="shared" si="12"/>
        <v/>
      </c>
      <c r="O154" s="188">
        <f t="shared" si="13"/>
        <v>521.2702267817715</v>
      </c>
      <c r="P154" s="188">
        <f t="shared" si="14"/>
        <v>621.99204734610475</v>
      </c>
      <c r="Q154" s="178" t="str">
        <f>IFERROR((VLOOKUP(A154,GM_Table,8,FALSE)-SUMIFS(D:D,A:A,A154,B:B,B154,C:C,C154)),"")</f>
        <v/>
      </c>
      <c r="R154" s="178" t="str">
        <f>IFERROR(CONCATENATE(VLOOKUP(A154,GM_Table,12,FALSE)," ",(VLOOKUP(A154,GM_Table,13,FALSE))),"")</f>
        <v/>
      </c>
      <c r="T154" s="203">
        <v>621.99204734610475</v>
      </c>
      <c r="U154" s="203">
        <v>0</v>
      </c>
      <c r="V154" s="204" t="s">
        <v>2597</v>
      </c>
      <c r="W154" s="203">
        <v>555.35004227330785</v>
      </c>
      <c r="X154" s="205">
        <v>-10.71428571428571</v>
      </c>
      <c r="Y154" s="204" t="s">
        <v>2597</v>
      </c>
      <c r="Z154" s="204" t="s">
        <v>2597</v>
      </c>
      <c r="AA154" s="204" t="s">
        <v>2597</v>
      </c>
      <c r="AB154" s="204" t="s">
        <v>2597</v>
      </c>
      <c r="AC154" s="204" t="s">
        <v>2597</v>
      </c>
    </row>
    <row r="155" spans="1:29" ht="15">
      <c r="A155" s="182" t="s">
        <v>1250</v>
      </c>
      <c r="B155" s="182" t="s">
        <v>1830</v>
      </c>
      <c r="C155" s="182"/>
      <c r="D155" s="183">
        <v>1.4766999999999999</v>
      </c>
      <c r="E155" s="183">
        <v>771.43579613885277</v>
      </c>
      <c r="F155" s="183">
        <v>915.87604896540074</v>
      </c>
      <c r="G155" s="184">
        <v>0</v>
      </c>
      <c r="H155" s="184">
        <v>0</v>
      </c>
      <c r="I155" s="184">
        <v>0</v>
      </c>
      <c r="J155" s="177" t="b">
        <f>IF(ISBLANK(CertifiedCrop[[#This Row],[1. Identifiant interne d’exploitation agricole*]]),"",IF(ISERROR(MATCH(CertifiedCrop[[#This Row],[1. Identifiant interne d’exploitation agricole*]],GroupMember[1. Identifiant interne d’exploitation agricole*],0)),FALSE,TRUE))</f>
        <v>1</v>
      </c>
      <c r="K155" s="177" t="b">
        <f t="array" ref="K155">IF(ISBLANK(CertifiedCrop[[#This Row],[2. Produit agricole certifié*]]),"",IF(ISERROR(MATCH(1,(#REF!=CertifiedCrop[[#This Row],[2. Produit agricole certifié*]])*(#REF!=CertifiedCrop[[#This Row],[3. Variété**]]),0)),FALSE,TRUE))</f>
        <v>0</v>
      </c>
      <c r="L155" s="185" t="str">
        <f t="shared" si="10"/>
        <v/>
      </c>
      <c r="M155" s="186" t="str">
        <f t="shared" si="11"/>
        <v/>
      </c>
      <c r="N155" s="187" t="str">
        <f t="shared" si="12"/>
        <v/>
      </c>
      <c r="O155" s="188">
        <f t="shared" si="13"/>
        <v>522.40522525824667</v>
      </c>
      <c r="P155" s="188">
        <f t="shared" si="14"/>
        <v>620.2180869272031</v>
      </c>
      <c r="Q155" s="178" t="str">
        <f>IFERROR((VLOOKUP(A155,GM_Table,8,FALSE)-SUMIFS(D:D,A:A,A155,B:B,B155,C:C,C155)),"")</f>
        <v/>
      </c>
      <c r="R155" s="178" t="str">
        <f>IFERROR(CONCATENATE(VLOOKUP(A155,GM_Table,12,FALSE)," ",(VLOOKUP(A155,GM_Table,13,FALSE))),"")</f>
        <v/>
      </c>
      <c r="T155" s="203">
        <v>620.2180869272031</v>
      </c>
      <c r="U155" s="203">
        <v>0</v>
      </c>
      <c r="V155" s="204" t="s">
        <v>2597</v>
      </c>
      <c r="W155" s="203">
        <v>553.76614904214568</v>
      </c>
      <c r="X155" s="205">
        <v>-10.714285714285705</v>
      </c>
      <c r="Y155" s="204" t="s">
        <v>2597</v>
      </c>
      <c r="Z155" s="204" t="s">
        <v>2597</v>
      </c>
      <c r="AA155" s="204" t="s">
        <v>2597</v>
      </c>
      <c r="AB155" s="204" t="s">
        <v>2597</v>
      </c>
      <c r="AC155" s="204" t="s">
        <v>2597</v>
      </c>
    </row>
    <row r="156" spans="1:29" ht="15">
      <c r="A156" s="182" t="s">
        <v>1257</v>
      </c>
      <c r="B156" s="182" t="s">
        <v>1830</v>
      </c>
      <c r="C156" s="182"/>
      <c r="D156" s="183">
        <v>1.4404999999999999</v>
      </c>
      <c r="E156" s="183">
        <v>752.88994095274268</v>
      </c>
      <c r="F156" s="183">
        <v>893.383801262171</v>
      </c>
      <c r="G156" s="184">
        <v>0</v>
      </c>
      <c r="H156" s="184">
        <v>0</v>
      </c>
      <c r="I156" s="184">
        <v>0</v>
      </c>
      <c r="J156" s="177" t="b">
        <f>IF(ISBLANK(CertifiedCrop[[#This Row],[1. Identifiant interne d’exploitation agricole*]]),"",IF(ISERROR(MATCH(CertifiedCrop[[#This Row],[1. Identifiant interne d’exploitation agricole*]],GroupMember[1. Identifiant interne d’exploitation agricole*],0)),FALSE,TRUE))</f>
        <v>1</v>
      </c>
      <c r="K156" s="177" t="b">
        <f t="array" ref="K156">IF(ISBLANK(CertifiedCrop[[#This Row],[2. Produit agricole certifié*]]),"",IF(ISERROR(MATCH(1,(#REF!=CertifiedCrop[[#This Row],[2. Produit agricole certifié*]])*(#REF!=CertifiedCrop[[#This Row],[3. Variété**]]),0)),FALSE,TRUE))</f>
        <v>0</v>
      </c>
      <c r="L156" s="185" t="str">
        <f t="shared" si="10"/>
        <v/>
      </c>
      <c r="M156" s="186" t="str">
        <f t="shared" si="11"/>
        <v/>
      </c>
      <c r="N156" s="187" t="str">
        <f t="shared" si="12"/>
        <v/>
      </c>
      <c r="O156" s="188">
        <f t="shared" si="13"/>
        <v>522.65875803730842</v>
      </c>
      <c r="P156" s="188">
        <f t="shared" si="14"/>
        <v>620.19007376756065</v>
      </c>
      <c r="Q156" s="178" t="str">
        <f>IFERROR((VLOOKUP(A156,GM_Table,8,FALSE)-SUMIFS(D:D,A:A,A156,B:B,B156,C:C,C156)),"")</f>
        <v/>
      </c>
      <c r="R156" s="178" t="str">
        <f>IFERROR(CONCATENATE(VLOOKUP(A156,GM_Table,12,FALSE)," ",(VLOOKUP(A156,GM_Table,13,FALSE))),"")</f>
        <v/>
      </c>
      <c r="T156" s="203">
        <v>620.19007376756065</v>
      </c>
      <c r="U156" s="203">
        <v>0</v>
      </c>
      <c r="V156" s="204" t="s">
        <v>2597</v>
      </c>
      <c r="W156" s="203">
        <v>553.74113729246483</v>
      </c>
      <c r="X156" s="205">
        <v>-10.714285714285721</v>
      </c>
      <c r="Y156" s="204" t="s">
        <v>2597</v>
      </c>
      <c r="Z156" s="204" t="s">
        <v>2597</v>
      </c>
      <c r="AA156" s="204" t="s">
        <v>2597</v>
      </c>
      <c r="AB156" s="204" t="s">
        <v>2597</v>
      </c>
      <c r="AC156" s="204" t="s">
        <v>2597</v>
      </c>
    </row>
    <row r="157" spans="1:29" ht="15">
      <c r="A157" s="182" t="s">
        <v>1260</v>
      </c>
      <c r="B157" s="182" t="s">
        <v>1830</v>
      </c>
      <c r="C157" s="182"/>
      <c r="D157" s="183">
        <v>1.9068000000000001</v>
      </c>
      <c r="E157" s="183">
        <v>997.87167411957364</v>
      </c>
      <c r="F157" s="183">
        <v>1183.2664891322358</v>
      </c>
      <c r="G157" s="184">
        <v>0</v>
      </c>
      <c r="H157" s="184">
        <v>0</v>
      </c>
      <c r="I157" s="184">
        <v>0</v>
      </c>
      <c r="J157" s="177" t="b">
        <f>IF(ISBLANK(CertifiedCrop[[#This Row],[1. Identifiant interne d’exploitation agricole*]]),"",IF(ISERROR(MATCH(CertifiedCrop[[#This Row],[1. Identifiant interne d’exploitation agricole*]],GroupMember[1. Identifiant interne d’exploitation agricole*],0)),FALSE,TRUE))</f>
        <v>1</v>
      </c>
      <c r="K157" s="177" t="b">
        <f t="array" ref="K157">IF(ISBLANK(CertifiedCrop[[#This Row],[2. Produit agricole certifié*]]),"",IF(ISERROR(MATCH(1,(#REF!=CertifiedCrop[[#This Row],[2. Produit agricole certifié*]])*(#REF!=CertifiedCrop[[#This Row],[3. Variété**]]),0)),FALSE,TRUE))</f>
        <v>0</v>
      </c>
      <c r="L157" s="185" t="str">
        <f t="shared" si="10"/>
        <v/>
      </c>
      <c r="M157" s="186" t="str">
        <f t="shared" si="11"/>
        <v/>
      </c>
      <c r="N157" s="187" t="str">
        <f t="shared" si="12"/>
        <v/>
      </c>
      <c r="O157" s="188">
        <f t="shared" si="13"/>
        <v>523.32267365196856</v>
      </c>
      <c r="P157" s="188">
        <f t="shared" si="14"/>
        <v>620.55091731289895</v>
      </c>
      <c r="Q157" s="178" t="str">
        <f>IFERROR((VLOOKUP(A157,GM_Table,8,FALSE)-SUMIFS(D:D,A:A,A157,B:B,B157,C:C,C157)),"")</f>
        <v/>
      </c>
      <c r="R157" s="178" t="str">
        <f>IFERROR(CONCATENATE(VLOOKUP(A157,GM_Table,12,FALSE)," ",(VLOOKUP(A157,GM_Table,13,FALSE))),"")</f>
        <v/>
      </c>
      <c r="T157" s="203">
        <v>620.55091731289895</v>
      </c>
      <c r="U157" s="203">
        <v>0</v>
      </c>
      <c r="V157" s="204" t="s">
        <v>2597</v>
      </c>
      <c r="W157" s="203">
        <v>554.06331902937416</v>
      </c>
      <c r="X157" s="205">
        <v>-10.714285714285698</v>
      </c>
      <c r="Y157" s="204" t="s">
        <v>2597</v>
      </c>
      <c r="Z157" s="204" t="s">
        <v>2597</v>
      </c>
      <c r="AA157" s="204" t="s">
        <v>2597</v>
      </c>
      <c r="AB157" s="204" t="s">
        <v>2597</v>
      </c>
      <c r="AC157" s="204" t="s">
        <v>2597</v>
      </c>
    </row>
    <row r="158" spans="1:29" ht="15">
      <c r="A158" s="182" t="s">
        <v>1265</v>
      </c>
      <c r="B158" s="182" t="s">
        <v>1830</v>
      </c>
      <c r="C158" s="182"/>
      <c r="D158" s="183">
        <v>1.0654999999999999</v>
      </c>
      <c r="E158" s="183">
        <v>558.18671910990417</v>
      </c>
      <c r="F158" s="183">
        <v>660.50332448056167</v>
      </c>
      <c r="G158" s="184">
        <v>0</v>
      </c>
      <c r="H158" s="184">
        <v>0</v>
      </c>
      <c r="I158" s="184">
        <v>0</v>
      </c>
      <c r="J158" s="177" t="b">
        <f>IF(ISBLANK(CertifiedCrop[[#This Row],[1. Identifiant interne d’exploitation agricole*]]),"",IF(ISERROR(MATCH(CertifiedCrop[[#This Row],[1. Identifiant interne d’exploitation agricole*]],GroupMember[1. Identifiant interne d’exploitation agricole*],0)),FALSE,TRUE))</f>
        <v>1</v>
      </c>
      <c r="K158" s="177" t="b">
        <f t="array" ref="K158">IF(ISBLANK(CertifiedCrop[[#This Row],[2. Produit agricole certifié*]]),"",IF(ISERROR(MATCH(1,(#REF!=CertifiedCrop[[#This Row],[2. Produit agricole certifié*]])*(#REF!=CertifiedCrop[[#This Row],[3. Variété**]]),0)),FALSE,TRUE))</f>
        <v>0</v>
      </c>
      <c r="L158" s="185" t="str">
        <f t="shared" si="10"/>
        <v/>
      </c>
      <c r="M158" s="186" t="str">
        <f t="shared" si="11"/>
        <v/>
      </c>
      <c r="N158" s="187" t="str">
        <f t="shared" si="12"/>
        <v/>
      </c>
      <c r="O158" s="188">
        <f t="shared" si="13"/>
        <v>523.87303529789233</v>
      </c>
      <c r="P158" s="188">
        <f t="shared" si="14"/>
        <v>619.8998821966793</v>
      </c>
      <c r="Q158" s="178" t="str">
        <f>IFERROR((VLOOKUP(A158,GM_Table,8,FALSE)-SUMIFS(D:D,A:A,A158,B:B,B158,C:C,C158)),"")</f>
        <v/>
      </c>
      <c r="R158" s="178" t="str">
        <f>IFERROR(CONCATENATE(VLOOKUP(A158,GM_Table,12,FALSE)," ",(VLOOKUP(A158,GM_Table,13,FALSE))),"")</f>
        <v/>
      </c>
      <c r="T158" s="203">
        <v>619.8998821966793</v>
      </c>
      <c r="U158" s="203">
        <v>0</v>
      </c>
      <c r="V158" s="204" t="s">
        <v>2597</v>
      </c>
      <c r="W158" s="203">
        <v>553.48203767560653</v>
      </c>
      <c r="X158" s="205">
        <v>-10.714285714285712</v>
      </c>
      <c r="Y158" s="204" t="s">
        <v>2597</v>
      </c>
      <c r="Z158" s="204" t="s">
        <v>2597</v>
      </c>
      <c r="AA158" s="204" t="s">
        <v>2597</v>
      </c>
      <c r="AB158" s="204" t="s">
        <v>2597</v>
      </c>
      <c r="AC158" s="204" t="s">
        <v>2597</v>
      </c>
    </row>
    <row r="159" spans="1:29" ht="15">
      <c r="A159" s="182" t="s">
        <v>1270</v>
      </c>
      <c r="B159" s="182" t="s">
        <v>1830</v>
      </c>
      <c r="C159" s="182"/>
      <c r="D159" s="183">
        <v>1.0963000000000001</v>
      </c>
      <c r="E159" s="183">
        <v>574.80115170882118</v>
      </c>
      <c r="F159" s="183">
        <v>679.62237050605995</v>
      </c>
      <c r="G159" s="184">
        <v>0</v>
      </c>
      <c r="H159" s="184">
        <v>0</v>
      </c>
      <c r="I159" s="184">
        <v>0</v>
      </c>
      <c r="J159" s="177" t="b">
        <f>IF(ISBLANK(CertifiedCrop[[#This Row],[1. Identifiant interne d’exploitation agricole*]]),"",IF(ISERROR(MATCH(CertifiedCrop[[#This Row],[1. Identifiant interne d’exploitation agricole*]],GroupMember[1. Identifiant interne d’exploitation agricole*],0)),FALSE,TRUE))</f>
        <v>1</v>
      </c>
      <c r="K159" s="177" t="b">
        <f t="array" ref="K159">IF(ISBLANK(CertifiedCrop[[#This Row],[2. Produit agricole certifié*]]),"",IF(ISERROR(MATCH(1,(#REF!=CertifiedCrop[[#This Row],[2. Produit agricole certifié*]])*(#REF!=CertifiedCrop[[#This Row],[3. Variété**]]),0)),FALSE,TRUE))</f>
        <v>0</v>
      </c>
      <c r="L159" s="185" t="str">
        <f t="shared" si="10"/>
        <v/>
      </c>
      <c r="M159" s="186" t="str">
        <f t="shared" si="11"/>
        <v/>
      </c>
      <c r="N159" s="187" t="str">
        <f t="shared" si="12"/>
        <v/>
      </c>
      <c r="O159" s="188">
        <f t="shared" si="13"/>
        <v>524.31009003814756</v>
      </c>
      <c r="P159" s="188">
        <f t="shared" si="14"/>
        <v>619.92371659770129</v>
      </c>
      <c r="Q159" s="178" t="str">
        <f>IFERROR((VLOOKUP(A159,GM_Table,8,FALSE)-SUMIFS(D:D,A:A,A159,B:B,B159,C:C,C159)),"")</f>
        <v/>
      </c>
      <c r="R159" s="178" t="str">
        <f>IFERROR(CONCATENATE(VLOOKUP(A159,GM_Table,12,FALSE)," ",(VLOOKUP(A159,GM_Table,13,FALSE))),"")</f>
        <v/>
      </c>
      <c r="T159" s="203">
        <v>619.92371659770129</v>
      </c>
      <c r="U159" s="203">
        <v>0</v>
      </c>
      <c r="V159" s="204" t="s">
        <v>2597</v>
      </c>
      <c r="W159" s="203">
        <v>553.50331839080468</v>
      </c>
      <c r="X159" s="205">
        <v>-10.714285714285721</v>
      </c>
      <c r="Y159" s="204" t="s">
        <v>2597</v>
      </c>
      <c r="Z159" s="204" t="s">
        <v>2597</v>
      </c>
      <c r="AA159" s="204" t="s">
        <v>2597</v>
      </c>
      <c r="AB159" s="204" t="s">
        <v>2597</v>
      </c>
      <c r="AC159" s="204" t="s">
        <v>2597</v>
      </c>
    </row>
    <row r="160" spans="1:29" ht="15">
      <c r="A160" s="182" t="s">
        <v>1273</v>
      </c>
      <c r="B160" s="182" t="s">
        <v>1830</v>
      </c>
      <c r="C160" s="182"/>
      <c r="D160" s="183">
        <v>3.0779999999999998</v>
      </c>
      <c r="E160" s="183">
        <v>1614.0611829217203</v>
      </c>
      <c r="F160" s="183">
        <v>1912.845395884138</v>
      </c>
      <c r="G160" s="184">
        <v>0</v>
      </c>
      <c r="H160" s="184">
        <v>0</v>
      </c>
      <c r="I160" s="184">
        <v>0</v>
      </c>
      <c r="J160" s="177" t="b">
        <f>IF(ISBLANK(CertifiedCrop[[#This Row],[1. Identifiant interne d’exploitation agricole*]]),"",IF(ISERROR(MATCH(CertifiedCrop[[#This Row],[1. Identifiant interne d’exploitation agricole*]],GroupMember[1. Identifiant interne d’exploitation agricole*],0)),FALSE,TRUE))</f>
        <v>1</v>
      </c>
      <c r="K160" s="177" t="b">
        <f t="array" ref="K160">IF(ISBLANK(CertifiedCrop[[#This Row],[2. Produit agricole certifié*]]),"",IF(ISERROR(MATCH(1,(#REF!=CertifiedCrop[[#This Row],[2. Produit agricole certifié*]])*(#REF!=CertifiedCrop[[#This Row],[3. Variété**]]),0)),FALSE,TRUE))</f>
        <v>0</v>
      </c>
      <c r="L160" s="185" t="str">
        <f t="shared" si="10"/>
        <v/>
      </c>
      <c r="M160" s="186" t="str">
        <f t="shared" si="11"/>
        <v/>
      </c>
      <c r="N160" s="187" t="str">
        <f t="shared" si="12"/>
        <v/>
      </c>
      <c r="O160" s="188">
        <f t="shared" si="13"/>
        <v>524.38634922732956</v>
      </c>
      <c r="P160" s="188">
        <f t="shared" si="14"/>
        <v>621.4572436270754</v>
      </c>
      <c r="Q160" s="178" t="str">
        <f>IFERROR((VLOOKUP(A160,GM_Table,8,FALSE)-SUMIFS(D:D,A:A,A160,B:B,B160,C:C,C160)),"")</f>
        <v/>
      </c>
      <c r="R160" s="178" t="str">
        <f>IFERROR(CONCATENATE(VLOOKUP(A160,GM_Table,12,FALSE)," ",(VLOOKUP(A160,GM_Table,13,FALSE))),"")</f>
        <v/>
      </c>
      <c r="T160" s="203">
        <v>621.4572436270754</v>
      </c>
      <c r="U160" s="203">
        <v>0</v>
      </c>
      <c r="V160" s="204" t="s">
        <v>2597</v>
      </c>
      <c r="W160" s="203">
        <v>554.87253895274591</v>
      </c>
      <c r="X160" s="205">
        <v>-10.714285714285712</v>
      </c>
      <c r="Y160" s="204" t="s">
        <v>2597</v>
      </c>
      <c r="Z160" s="204" t="s">
        <v>2597</v>
      </c>
      <c r="AA160" s="204" t="s">
        <v>2597</v>
      </c>
      <c r="AB160" s="204" t="s">
        <v>2597</v>
      </c>
      <c r="AC160" s="204" t="s">
        <v>2597</v>
      </c>
    </row>
    <row r="161" spans="1:29" ht="15">
      <c r="A161" s="182" t="s">
        <v>1277</v>
      </c>
      <c r="B161" s="182" t="s">
        <v>1830</v>
      </c>
      <c r="C161" s="182"/>
      <c r="D161" s="183">
        <v>1.3565</v>
      </c>
      <c r="E161" s="183">
        <v>712.03693227751012</v>
      </c>
      <c r="F161" s="183">
        <v>841.19965861573439</v>
      </c>
      <c r="G161" s="184">
        <v>0</v>
      </c>
      <c r="H161" s="184">
        <v>0</v>
      </c>
      <c r="I161" s="184">
        <v>0</v>
      </c>
      <c r="J161" s="177" t="b">
        <f>IF(ISBLANK(CertifiedCrop[[#This Row],[1. Identifiant interne d’exploitation agricole*]]),"",IF(ISERROR(MATCH(CertifiedCrop[[#This Row],[1. Identifiant interne d’exploitation agricole*]],GroupMember[1. Identifiant interne d’exploitation agricole*],0)),FALSE,TRUE))</f>
        <v>1</v>
      </c>
      <c r="K161" s="177" t="b">
        <f t="array" ref="K161">IF(ISBLANK(CertifiedCrop[[#This Row],[2. Produit agricole certifié*]]),"",IF(ISERROR(MATCH(1,(#REF!=CertifiedCrop[[#This Row],[2. Produit agricole certifié*]])*(#REF!=CertifiedCrop[[#This Row],[3. Variété**]]),0)),FALSE,TRUE))</f>
        <v>0</v>
      </c>
      <c r="L161" s="185" t="str">
        <f t="shared" si="10"/>
        <v/>
      </c>
      <c r="M161" s="186" t="str">
        <f t="shared" si="11"/>
        <v/>
      </c>
      <c r="N161" s="187" t="str">
        <f t="shared" si="12"/>
        <v/>
      </c>
      <c r="O161" s="188">
        <f t="shared" si="13"/>
        <v>524.90743256727615</v>
      </c>
      <c r="P161" s="188">
        <f t="shared" si="14"/>
        <v>620.12507085568325</v>
      </c>
      <c r="Q161" s="178" t="str">
        <f>IFERROR((VLOOKUP(A161,GM_Table,8,FALSE)-SUMIFS(D:D,A:A,A161,B:B,B161,C:C,C161)),"")</f>
        <v/>
      </c>
      <c r="R161" s="178" t="str">
        <f>IFERROR(CONCATENATE(VLOOKUP(A161,GM_Table,12,FALSE)," ",(VLOOKUP(A161,GM_Table,13,FALSE))),"")</f>
        <v/>
      </c>
      <c r="T161" s="203">
        <v>620.12507085568325</v>
      </c>
      <c r="U161" s="203">
        <v>0</v>
      </c>
      <c r="V161" s="204" t="s">
        <v>2597</v>
      </c>
      <c r="W161" s="203">
        <v>553.68309897828863</v>
      </c>
      <c r="X161" s="205">
        <v>-10.714285714285712</v>
      </c>
      <c r="Y161" s="204" t="s">
        <v>2597</v>
      </c>
      <c r="Z161" s="204" t="s">
        <v>2597</v>
      </c>
      <c r="AA161" s="204" t="s">
        <v>2597</v>
      </c>
      <c r="AB161" s="204" t="s">
        <v>2597</v>
      </c>
      <c r="AC161" s="204" t="s">
        <v>2597</v>
      </c>
    </row>
    <row r="162" spans="1:29" ht="15">
      <c r="A162" s="182" t="s">
        <v>1281</v>
      </c>
      <c r="B162" s="182" t="s">
        <v>1830</v>
      </c>
      <c r="C162" s="182"/>
      <c r="D162" s="183">
        <v>1.0563</v>
      </c>
      <c r="E162" s="183">
        <v>554.50910289489866</v>
      </c>
      <c r="F162" s="183">
        <v>654.7927253774775</v>
      </c>
      <c r="G162" s="184">
        <v>0</v>
      </c>
      <c r="H162" s="184">
        <v>0</v>
      </c>
      <c r="I162" s="184">
        <v>0</v>
      </c>
      <c r="J162" s="177" t="b">
        <f>IF(ISBLANK(CertifiedCrop[[#This Row],[1. Identifiant interne d’exploitation agricole*]]),"",IF(ISERROR(MATCH(CertifiedCrop[[#This Row],[1. Identifiant interne d’exploitation agricole*]],GroupMember[1. Identifiant interne d’exploitation agricole*],0)),FALSE,TRUE))</f>
        <v>1</v>
      </c>
      <c r="K162" s="177" t="b">
        <f t="array" ref="K162">IF(ISBLANK(CertifiedCrop[[#This Row],[2. Produit agricole certifié*]]),"",IF(ISERROR(MATCH(1,(#REF!=CertifiedCrop[[#This Row],[2. Produit agricole certifié*]])*(#REF!=CertifiedCrop[[#This Row],[3. Variété**]]),0)),FALSE,TRUE))</f>
        <v>0</v>
      </c>
      <c r="L162" s="185" t="str">
        <f t="shared" si="10"/>
        <v/>
      </c>
      <c r="M162" s="186" t="str">
        <f t="shared" si="11"/>
        <v/>
      </c>
      <c r="N162" s="187" t="str">
        <f t="shared" si="12"/>
        <v/>
      </c>
      <c r="O162" s="188">
        <f t="shared" si="13"/>
        <v>524.95418242440462</v>
      </c>
      <c r="P162" s="188">
        <f t="shared" si="14"/>
        <v>619.89276283014055</v>
      </c>
      <c r="Q162" s="178" t="str">
        <f>IFERROR((VLOOKUP(A162,GM_Table,8,FALSE)-SUMIFS(D:D,A:A,A162,B:B,B162,C:C,C162)),"")</f>
        <v/>
      </c>
      <c r="R162" s="178" t="str">
        <f>IFERROR(CONCATENATE(VLOOKUP(A162,GM_Table,12,FALSE)," ",(VLOOKUP(A162,GM_Table,13,FALSE))),"")</f>
        <v/>
      </c>
      <c r="T162" s="203">
        <v>619.89276283014055</v>
      </c>
      <c r="U162" s="203">
        <v>0</v>
      </c>
      <c r="V162" s="204" t="s">
        <v>2597</v>
      </c>
      <c r="W162" s="203">
        <v>553.47568109833981</v>
      </c>
      <c r="X162" s="205">
        <v>-10.714285714285712</v>
      </c>
      <c r="Y162" s="204" t="s">
        <v>2597</v>
      </c>
      <c r="Z162" s="204" t="s">
        <v>2597</v>
      </c>
      <c r="AA162" s="204" t="s">
        <v>2597</v>
      </c>
      <c r="AB162" s="204" t="s">
        <v>2597</v>
      </c>
      <c r="AC162" s="204" t="s">
        <v>2597</v>
      </c>
    </row>
    <row r="163" spans="1:29" ht="15">
      <c r="A163" s="182" t="s">
        <v>1284</v>
      </c>
      <c r="B163" s="182" t="s">
        <v>1830</v>
      </c>
      <c r="C163" s="182"/>
      <c r="D163" s="183">
        <v>0.9254</v>
      </c>
      <c r="E163" s="183">
        <v>486.62031233056462</v>
      </c>
      <c r="F163" s="183">
        <v>501.94348196391729</v>
      </c>
      <c r="G163" s="184">
        <v>0</v>
      </c>
      <c r="H163" s="184">
        <v>0</v>
      </c>
      <c r="I163" s="184">
        <v>0</v>
      </c>
      <c r="J163" s="177" t="b">
        <f>IF(ISBLANK(CertifiedCrop[[#This Row],[1. Identifiant interne d’exploitation agricole*]]),"",IF(ISERROR(MATCH(CertifiedCrop[[#This Row],[1. Identifiant interne d’exploitation agricole*]],GroupMember[1. Identifiant interne d’exploitation agricole*],0)),FALSE,TRUE))</f>
        <v>1</v>
      </c>
      <c r="K163" s="177" t="b">
        <f t="array" ref="K163">IF(ISBLANK(CertifiedCrop[[#This Row],[2. Produit agricole certifié*]]),"",IF(ISERROR(MATCH(1,(#REF!=CertifiedCrop[[#This Row],[2. Produit agricole certifié*]])*(#REF!=CertifiedCrop[[#This Row],[3. Variété**]]),0)),FALSE,TRUE))</f>
        <v>0</v>
      </c>
      <c r="L163" s="185" t="str">
        <f t="shared" si="10"/>
        <v/>
      </c>
      <c r="M163" s="186" t="str">
        <f t="shared" si="11"/>
        <v/>
      </c>
      <c r="N163" s="187" t="str">
        <f t="shared" si="12"/>
        <v/>
      </c>
      <c r="O163" s="188">
        <f t="shared" si="13"/>
        <v>525.8486193327908</v>
      </c>
      <c r="P163" s="188">
        <f t="shared" si="14"/>
        <v>542.40704772413801</v>
      </c>
      <c r="Q163" s="178" t="str">
        <f>IFERROR((VLOOKUP(A163,GM_Table,8,FALSE)-SUMIFS(D:D,A:A,A163,B:B,B163,C:C,C163)),"")</f>
        <v/>
      </c>
      <c r="R163" s="178" t="str">
        <f>IFERROR(CONCATENATE(VLOOKUP(A163,GM_Table,12,FALSE)," ",(VLOOKUP(A163,GM_Table,13,FALSE))),"")</f>
        <v/>
      </c>
      <c r="T163" s="203">
        <v>542.40704772413801</v>
      </c>
      <c r="U163" s="203">
        <v>0</v>
      </c>
      <c r="V163" s="204" t="s">
        <v>2597</v>
      </c>
      <c r="W163" s="203">
        <v>484.29200689655175</v>
      </c>
      <c r="X163" s="205">
        <v>-10.714285714285722</v>
      </c>
      <c r="Y163" s="204" t="s">
        <v>2597</v>
      </c>
      <c r="Z163" s="204" t="s">
        <v>2597</v>
      </c>
      <c r="AA163" s="204" t="s">
        <v>2597</v>
      </c>
      <c r="AB163" s="204" t="s">
        <v>2597</v>
      </c>
      <c r="AC163" s="204" t="s">
        <v>2597</v>
      </c>
    </row>
    <row r="164" spans="1:29" ht="15">
      <c r="A164" s="182" t="s">
        <v>1287</v>
      </c>
      <c r="B164" s="182" t="s">
        <v>1830</v>
      </c>
      <c r="C164" s="182"/>
      <c r="D164" s="183">
        <v>1.72</v>
      </c>
      <c r="E164" s="183">
        <v>905.13270830683223</v>
      </c>
      <c r="F164" s="183">
        <v>1067.0989447356324</v>
      </c>
      <c r="G164" s="184">
        <v>0</v>
      </c>
      <c r="H164" s="184">
        <v>0</v>
      </c>
      <c r="I164" s="184">
        <v>0</v>
      </c>
      <c r="J164" s="177" t="b">
        <f>IF(ISBLANK(CertifiedCrop[[#This Row],[1. Identifiant interne d’exploitation agricole*]]),"",IF(ISERROR(MATCH(CertifiedCrop[[#This Row],[1. Identifiant interne d’exploitation agricole*]],GroupMember[1. Identifiant interne d’exploitation agricole*],0)),FALSE,TRUE))</f>
        <v>1</v>
      </c>
      <c r="K164" s="177" t="b">
        <f t="array" ref="K164">IF(ISBLANK(CertifiedCrop[[#This Row],[2. Produit agricole certifié*]]),"",IF(ISERROR(MATCH(1,(#REF!=CertifiedCrop[[#This Row],[2. Produit agricole certifié*]])*(#REF!=CertifiedCrop[[#This Row],[3. Variété**]]),0)),FALSE,TRUE))</f>
        <v>0</v>
      </c>
      <c r="L164" s="185" t="str">
        <f t="shared" si="10"/>
        <v/>
      </c>
      <c r="M164" s="186" t="str">
        <f t="shared" si="11"/>
        <v/>
      </c>
      <c r="N164" s="187" t="str">
        <f t="shared" si="12"/>
        <v/>
      </c>
      <c r="O164" s="188">
        <f t="shared" si="13"/>
        <v>526.23994669001877</v>
      </c>
      <c r="P164" s="188">
        <f t="shared" si="14"/>
        <v>620.40636321839088</v>
      </c>
      <c r="Q164" s="178" t="str">
        <f>IFERROR((VLOOKUP(A164,GM_Table,8,FALSE)-SUMIFS(D:D,A:A,A164,B:B,B164,C:C,C164)),"")</f>
        <v/>
      </c>
      <c r="R164" s="178" t="str">
        <f>IFERROR(CONCATENATE(VLOOKUP(A164,GM_Table,12,FALSE)," ",(VLOOKUP(A164,GM_Table,13,FALSE))),"")</f>
        <v/>
      </c>
      <c r="T164" s="203">
        <v>620.40636321839088</v>
      </c>
      <c r="U164" s="203">
        <v>0</v>
      </c>
      <c r="V164" s="204" t="s">
        <v>2597</v>
      </c>
      <c r="W164" s="203">
        <v>553.93425287356331</v>
      </c>
      <c r="X164" s="205">
        <v>-10.714285714285712</v>
      </c>
      <c r="Y164" s="204" t="s">
        <v>2597</v>
      </c>
      <c r="Z164" s="204" t="s">
        <v>2597</v>
      </c>
      <c r="AA164" s="204" t="s">
        <v>2597</v>
      </c>
      <c r="AB164" s="204" t="s">
        <v>2597</v>
      </c>
      <c r="AC164" s="204" t="s">
        <v>2597</v>
      </c>
    </row>
    <row r="165" spans="1:29" ht="15">
      <c r="A165" s="182" t="s">
        <v>1290</v>
      </c>
      <c r="B165" s="182" t="s">
        <v>1830</v>
      </c>
      <c r="C165" s="182"/>
      <c r="D165" s="183">
        <v>0.58789999999999998</v>
      </c>
      <c r="E165" s="183">
        <v>309.72911037519293</v>
      </c>
      <c r="F165" s="183">
        <v>318.72756009495168</v>
      </c>
      <c r="G165" s="184">
        <v>0</v>
      </c>
      <c r="H165" s="184">
        <v>0</v>
      </c>
      <c r="I165" s="184">
        <v>0</v>
      </c>
      <c r="J165" s="177" t="b">
        <f>IF(ISBLANK(CertifiedCrop[[#This Row],[1. Identifiant interne d’exploitation agricole*]]),"",IF(ISERROR(MATCH(CertifiedCrop[[#This Row],[1. Identifiant interne d’exploitation agricole*]],GroupMember[1. Identifiant interne d’exploitation agricole*],0)),FALSE,TRUE))</f>
        <v>1</v>
      </c>
      <c r="K165" s="177" t="b">
        <f t="array" ref="K165">IF(ISBLANK(CertifiedCrop[[#This Row],[2. Produit agricole certifié*]]),"",IF(ISERROR(MATCH(1,(#REF!=CertifiedCrop[[#This Row],[2. Produit agricole certifié*]])*(#REF!=CertifiedCrop[[#This Row],[3. Variété**]]),0)),FALSE,TRUE))</f>
        <v>0</v>
      </c>
      <c r="L165" s="185" t="str">
        <f t="shared" si="10"/>
        <v/>
      </c>
      <c r="M165" s="186" t="str">
        <f t="shared" si="11"/>
        <v/>
      </c>
      <c r="N165" s="187" t="str">
        <f t="shared" si="12"/>
        <v/>
      </c>
      <c r="O165" s="188">
        <f t="shared" si="13"/>
        <v>526.83978631602815</v>
      </c>
      <c r="P165" s="188">
        <f t="shared" si="14"/>
        <v>542.14587531034476</v>
      </c>
      <c r="Q165" s="178" t="str">
        <f>IFERROR((VLOOKUP(A165,GM_Table,8,FALSE)-SUMIFS(D:D,A:A,A165,B:B,B165,C:C,C165)),"")</f>
        <v/>
      </c>
      <c r="R165" s="178" t="str">
        <f>IFERROR(CONCATENATE(VLOOKUP(A165,GM_Table,12,FALSE)," ",(VLOOKUP(A165,GM_Table,13,FALSE))),"")</f>
        <v/>
      </c>
      <c r="T165" s="203">
        <v>542.14587531034476</v>
      </c>
      <c r="U165" s="203">
        <v>0</v>
      </c>
      <c r="V165" s="204" t="s">
        <v>2597</v>
      </c>
      <c r="W165" s="203">
        <v>484.0588172413793</v>
      </c>
      <c r="X165" s="205">
        <v>-10.714285714285705</v>
      </c>
      <c r="Y165" s="204" t="s">
        <v>2597</v>
      </c>
      <c r="Z165" s="204" t="s">
        <v>2597</v>
      </c>
      <c r="AA165" s="204" t="s">
        <v>2597</v>
      </c>
      <c r="AB165" s="204" t="s">
        <v>2597</v>
      </c>
      <c r="AC165" s="204" t="s">
        <v>2597</v>
      </c>
    </row>
    <row r="166" spans="1:29" ht="15">
      <c r="A166" s="182" t="s">
        <v>1294</v>
      </c>
      <c r="B166" s="182" t="s">
        <v>1830</v>
      </c>
      <c r="C166" s="182"/>
      <c r="D166" s="183">
        <v>1.4934000000000001</v>
      </c>
      <c r="E166" s="183">
        <v>786.95333961585175</v>
      </c>
      <c r="F166" s="183">
        <v>926.25299052091327</v>
      </c>
      <c r="G166" s="184">
        <v>0</v>
      </c>
      <c r="H166" s="184">
        <v>0</v>
      </c>
      <c r="I166" s="184">
        <v>0</v>
      </c>
      <c r="J166" s="177" t="b">
        <f>IF(ISBLANK(CertifiedCrop[[#This Row],[1. Identifiant interne d’exploitation agricole*]]),"",IF(ISERROR(MATCH(CertifiedCrop[[#This Row],[1. Identifiant interne d’exploitation agricole*]],GroupMember[1. Identifiant interne d’exploitation agricole*],0)),FALSE,TRUE))</f>
        <v>1</v>
      </c>
      <c r="K166" s="177" t="b">
        <f t="array" ref="K166">IF(ISBLANK(CertifiedCrop[[#This Row],[2. Produit agricole certifié*]]),"",IF(ISERROR(MATCH(1,(#REF!=CertifiedCrop[[#This Row],[2. Produit agricole certifié*]])*(#REF!=CertifiedCrop[[#This Row],[3. Variété**]]),0)),FALSE,TRUE))</f>
        <v>0</v>
      </c>
      <c r="L166" s="185" t="str">
        <f t="shared" si="10"/>
        <v/>
      </c>
      <c r="M166" s="186" t="str">
        <f t="shared" si="11"/>
        <v/>
      </c>
      <c r="N166" s="187" t="str">
        <f t="shared" si="12"/>
        <v/>
      </c>
      <c r="O166" s="188">
        <f t="shared" si="13"/>
        <v>526.95415803927392</v>
      </c>
      <c r="P166" s="188">
        <f t="shared" si="14"/>
        <v>620.23101012515951</v>
      </c>
      <c r="Q166" s="178" t="str">
        <f>IFERROR((VLOOKUP(A166,GM_Table,8,FALSE)-SUMIFS(D:D,A:A,A166,B:B,B166,C:C,C166)),"")</f>
        <v/>
      </c>
      <c r="R166" s="178" t="str">
        <f>IFERROR(CONCATENATE(VLOOKUP(A166,GM_Table,12,FALSE)," ",(VLOOKUP(A166,GM_Table,13,FALSE))),"")</f>
        <v/>
      </c>
      <c r="T166" s="203">
        <v>620.23101012515951</v>
      </c>
      <c r="U166" s="203">
        <v>0</v>
      </c>
      <c r="V166" s="204" t="s">
        <v>2597</v>
      </c>
      <c r="W166" s="203">
        <v>553.77768761174957</v>
      </c>
      <c r="X166" s="205">
        <v>-10.714285714285714</v>
      </c>
      <c r="Y166" s="204" t="s">
        <v>2597</v>
      </c>
      <c r="Z166" s="204" t="s">
        <v>2597</v>
      </c>
      <c r="AA166" s="204" t="s">
        <v>2597</v>
      </c>
      <c r="AB166" s="204" t="s">
        <v>2597</v>
      </c>
      <c r="AC166" s="204" t="s">
        <v>2597</v>
      </c>
    </row>
    <row r="167" spans="1:29" ht="15">
      <c r="A167" s="182" t="s">
        <v>1297</v>
      </c>
      <c r="B167" s="182" t="s">
        <v>1830</v>
      </c>
      <c r="C167" s="182"/>
      <c r="D167" s="183">
        <v>1.5095000000000001</v>
      </c>
      <c r="E167" s="183">
        <v>795.45275093307782</v>
      </c>
      <c r="F167" s="183">
        <v>936.257516480562</v>
      </c>
      <c r="G167" s="184">
        <v>0</v>
      </c>
      <c r="H167" s="184">
        <v>0</v>
      </c>
      <c r="I167" s="184">
        <v>0</v>
      </c>
      <c r="J167" s="177" t="b">
        <f>IF(ISBLANK(CertifiedCrop[[#This Row],[1. Identifiant interne d’exploitation agricole*]]),"",IF(ISERROR(MATCH(CertifiedCrop[[#This Row],[1. Identifiant interne d’exploitation agricole*]],GroupMember[1. Identifiant interne d’exploitation agricole*],0)),FALSE,TRUE))</f>
        <v>1</v>
      </c>
      <c r="K167" s="177" t="b">
        <f t="array" ref="K167">IF(ISBLANK(CertifiedCrop[[#This Row],[2. Produit agricole certifié*]]),"",IF(ISERROR(MATCH(1,(#REF!=CertifiedCrop[[#This Row],[2. Produit agricole certifié*]])*(#REF!=CertifiedCrop[[#This Row],[3. Variété**]]),0)),FALSE,TRUE))</f>
        <v>0</v>
      </c>
      <c r="L167" s="185" t="str">
        <f t="shared" si="10"/>
        <v/>
      </c>
      <c r="M167" s="186" t="str">
        <f t="shared" si="11"/>
        <v/>
      </c>
      <c r="N167" s="187" t="str">
        <f t="shared" si="12"/>
        <v/>
      </c>
      <c r="O167" s="188">
        <f t="shared" si="13"/>
        <v>526.964392800979</v>
      </c>
      <c r="P167" s="188">
        <f t="shared" si="14"/>
        <v>620.24346901660283</v>
      </c>
      <c r="Q167" s="178" t="str">
        <f>IFERROR((VLOOKUP(A167,GM_Table,8,FALSE)-SUMIFS(D:D,A:A,A167,B:B,B167,C:C,C167)),"")</f>
        <v/>
      </c>
      <c r="R167" s="178" t="str">
        <f>IFERROR(CONCATENATE(VLOOKUP(A167,GM_Table,12,FALSE)," ",(VLOOKUP(A167,GM_Table,13,FALSE))),"")</f>
        <v/>
      </c>
      <c r="T167" s="203">
        <v>620.24346901660283</v>
      </c>
      <c r="U167" s="203">
        <v>0</v>
      </c>
      <c r="V167" s="204" t="s">
        <v>2597</v>
      </c>
      <c r="W167" s="203">
        <v>553.78881162196683</v>
      </c>
      <c r="X167" s="205">
        <v>-10.714285714285712</v>
      </c>
      <c r="Y167" s="204" t="s">
        <v>2597</v>
      </c>
      <c r="Z167" s="204" t="s">
        <v>2597</v>
      </c>
      <c r="AA167" s="204" t="s">
        <v>2597</v>
      </c>
      <c r="AB167" s="204" t="s">
        <v>2597</v>
      </c>
      <c r="AC167" s="204" t="s">
        <v>2597</v>
      </c>
    </row>
    <row r="168" spans="1:29" ht="15">
      <c r="A168" s="182" t="s">
        <v>1302</v>
      </c>
      <c r="B168" s="182" t="s">
        <v>1830</v>
      </c>
      <c r="C168" s="182"/>
      <c r="D168" s="183">
        <v>1.0206999999999999</v>
      </c>
      <c r="E168" s="183">
        <v>538.20685622624148</v>
      </c>
      <c r="F168" s="183">
        <v>632.69642390633567</v>
      </c>
      <c r="G168" s="184">
        <v>0</v>
      </c>
      <c r="H168" s="184">
        <v>0</v>
      </c>
      <c r="I168" s="184">
        <v>0</v>
      </c>
      <c r="J168" s="177" t="b">
        <f>IF(ISBLANK(CertifiedCrop[[#This Row],[1. Identifiant interne d’exploitation agricole*]]),"",IF(ISERROR(MATCH(CertifiedCrop[[#This Row],[1. Identifiant interne d’exploitation agricole*]],GroupMember[1. Identifiant interne d’exploitation agricole*],0)),FALSE,TRUE))</f>
        <v>1</v>
      </c>
      <c r="K168" s="177" t="b">
        <f t="array" ref="K168">IF(ISBLANK(CertifiedCrop[[#This Row],[2. Produit agricole certifié*]]),"",IF(ISERROR(MATCH(1,(#REF!=CertifiedCrop[[#This Row],[2. Produit agricole certifié*]])*(#REF!=CertifiedCrop[[#This Row],[3. Variété**]]),0)),FALSE,TRUE))</f>
        <v>0</v>
      </c>
      <c r="L168" s="185" t="str">
        <f t="shared" si="10"/>
        <v/>
      </c>
      <c r="M168" s="186" t="str">
        <f t="shared" si="11"/>
        <v/>
      </c>
      <c r="N168" s="187" t="str">
        <f t="shared" si="12"/>
        <v/>
      </c>
      <c r="O168" s="188">
        <f t="shared" si="13"/>
        <v>527.29191361442292</v>
      </c>
      <c r="P168" s="188">
        <f t="shared" si="14"/>
        <v>619.86521397701154</v>
      </c>
      <c r="Q168" s="178" t="str">
        <f>IFERROR((VLOOKUP(A168,GM_Table,8,FALSE)-SUMIFS(D:D,A:A,A168,B:B,B168,C:C,C168)),"")</f>
        <v/>
      </c>
      <c r="R168" s="178" t="str">
        <f>IFERROR(CONCATENATE(VLOOKUP(A168,GM_Table,12,FALSE)," ",(VLOOKUP(A168,GM_Table,13,FALSE))),"")</f>
        <v/>
      </c>
      <c r="T168" s="203">
        <v>619.86521397701154</v>
      </c>
      <c r="U168" s="203">
        <v>0</v>
      </c>
      <c r="V168" s="204" t="s">
        <v>2597</v>
      </c>
      <c r="W168" s="203">
        <v>553.45108390804603</v>
      </c>
      <c r="X168" s="205">
        <v>-10.714285714285712</v>
      </c>
      <c r="Y168" s="204" t="s">
        <v>2597</v>
      </c>
      <c r="Z168" s="204" t="s">
        <v>2597</v>
      </c>
      <c r="AA168" s="204" t="s">
        <v>2597</v>
      </c>
      <c r="AB168" s="204" t="s">
        <v>2597</v>
      </c>
      <c r="AC168" s="204" t="s">
        <v>2597</v>
      </c>
    </row>
    <row r="169" spans="1:29" ht="15">
      <c r="A169" s="182" t="s">
        <v>1308</v>
      </c>
      <c r="B169" s="182" t="s">
        <v>1830</v>
      </c>
      <c r="C169" s="182"/>
      <c r="D169" s="183">
        <v>1.1981999999999999</v>
      </c>
      <c r="E169" s="183">
        <v>631.86401952319682</v>
      </c>
      <c r="F169" s="183">
        <v>742.88708095629727</v>
      </c>
      <c r="G169" s="184">
        <v>0</v>
      </c>
      <c r="H169" s="184">
        <v>0</v>
      </c>
      <c r="I169" s="184">
        <v>0</v>
      </c>
      <c r="J169" s="177" t="b">
        <f>IF(ISBLANK(CertifiedCrop[[#This Row],[1. Identifiant interne d’exploitation agricole*]]),"",IF(ISERROR(MATCH(CertifiedCrop[[#This Row],[1. Identifiant interne d’exploitation agricole*]],GroupMember[1. Identifiant interne d’exploitation agricole*],0)),FALSE,TRUE))</f>
        <v>1</v>
      </c>
      <c r="K169" s="177" t="b">
        <f t="array" ref="K169">IF(ISBLANK(CertifiedCrop[[#This Row],[2. Produit agricole certifié*]]),"",IF(ISERROR(MATCH(1,(#REF!=CertifiedCrop[[#This Row],[2. Produit agricole certifié*]])*(#REF!=CertifiedCrop[[#This Row],[3. Variété**]]),0)),FALSE,TRUE))</f>
        <v>0</v>
      </c>
      <c r="L169" s="185" t="str">
        <f t="shared" si="10"/>
        <v/>
      </c>
      <c r="M169" s="186" t="str">
        <f t="shared" si="11"/>
        <v/>
      </c>
      <c r="N169" s="187" t="str">
        <f t="shared" si="12"/>
        <v/>
      </c>
      <c r="O169" s="188">
        <f t="shared" si="13"/>
        <v>527.3443661518919</v>
      </c>
      <c r="P169" s="188">
        <f t="shared" si="14"/>
        <v>620.00257132056197</v>
      </c>
      <c r="Q169" s="178" t="str">
        <f>IFERROR((VLOOKUP(A169,GM_Table,8,FALSE)-SUMIFS(D:D,A:A,A169,B:B,B169,C:C,C169)),"")</f>
        <v/>
      </c>
      <c r="R169" s="178" t="str">
        <f>IFERROR(CONCATENATE(VLOOKUP(A169,GM_Table,12,FALSE)," ",(VLOOKUP(A169,GM_Table,13,FALSE))),"")</f>
        <v/>
      </c>
      <c r="T169" s="203">
        <v>620.00257132056197</v>
      </c>
      <c r="U169" s="203">
        <v>0</v>
      </c>
      <c r="V169" s="204" t="s">
        <v>2597</v>
      </c>
      <c r="W169" s="203">
        <v>553.57372439335893</v>
      </c>
      <c r="X169" s="205">
        <v>-10.71428571428571</v>
      </c>
      <c r="Y169" s="204" t="s">
        <v>2597</v>
      </c>
      <c r="Z169" s="204" t="s">
        <v>2597</v>
      </c>
      <c r="AA169" s="204" t="s">
        <v>2597</v>
      </c>
      <c r="AB169" s="204" t="s">
        <v>2597</v>
      </c>
      <c r="AC169" s="204" t="s">
        <v>2597</v>
      </c>
    </row>
    <row r="170" spans="1:29" ht="15">
      <c r="A170" s="182" t="s">
        <v>1312</v>
      </c>
      <c r="B170" s="182" t="s">
        <v>1830</v>
      </c>
      <c r="C170" s="182"/>
      <c r="D170" s="183">
        <v>1.125</v>
      </c>
      <c r="E170" s="183">
        <v>593.52623569838818</v>
      </c>
      <c r="F170" s="183">
        <v>697.43916666666667</v>
      </c>
      <c r="G170" s="184">
        <v>0</v>
      </c>
      <c r="H170" s="184">
        <v>0</v>
      </c>
      <c r="I170" s="184">
        <v>0</v>
      </c>
      <c r="J170" s="177" t="b">
        <f>IF(ISBLANK(CertifiedCrop[[#This Row],[1. Identifiant interne d’exploitation agricole*]]),"",IF(ISERROR(MATCH(CertifiedCrop[[#This Row],[1. Identifiant interne d’exploitation agricole*]],GroupMember[1. Identifiant interne d’exploitation agricole*],0)),FALSE,TRUE))</f>
        <v>1</v>
      </c>
      <c r="K170" s="177" t="b">
        <f t="array" ref="K170">IF(ISBLANK(CertifiedCrop[[#This Row],[2. Produit agricole certifié*]]),"",IF(ISERROR(MATCH(1,(#REF!=CertifiedCrop[[#This Row],[2. Produit agricole certifié*]])*(#REF!=CertifiedCrop[[#This Row],[3. Variété**]]),0)),FALSE,TRUE))</f>
        <v>0</v>
      </c>
      <c r="L170" s="185" t="str">
        <f t="shared" si="10"/>
        <v/>
      </c>
      <c r="M170" s="186" t="str">
        <f t="shared" si="11"/>
        <v/>
      </c>
      <c r="N170" s="187" t="str">
        <f t="shared" si="12"/>
        <v/>
      </c>
      <c r="O170" s="188">
        <f t="shared" si="13"/>
        <v>527.57887617634503</v>
      </c>
      <c r="P170" s="188">
        <f t="shared" si="14"/>
        <v>619.94592592592596</v>
      </c>
      <c r="Q170" s="178" t="str">
        <f>IFERROR((VLOOKUP(A170,GM_Table,8,FALSE)-SUMIFS(D:D,A:A,A170,B:B,B170,C:C,C170)),"")</f>
        <v/>
      </c>
      <c r="R170" s="178" t="str">
        <f>IFERROR(CONCATENATE(VLOOKUP(A170,GM_Table,12,FALSE)," ",(VLOOKUP(A170,GM_Table,13,FALSE))),"")</f>
        <v/>
      </c>
      <c r="T170" s="203">
        <v>619.94592592592596</v>
      </c>
      <c r="U170" s="203">
        <v>0</v>
      </c>
      <c r="V170" s="204" t="s">
        <v>2597</v>
      </c>
      <c r="W170" s="203">
        <v>553.52314814814815</v>
      </c>
      <c r="X170" s="205">
        <v>-10.714285714285719</v>
      </c>
      <c r="Y170" s="204" t="s">
        <v>2597</v>
      </c>
      <c r="Z170" s="204" t="s">
        <v>2597</v>
      </c>
      <c r="AA170" s="204" t="s">
        <v>2597</v>
      </c>
      <c r="AB170" s="204" t="s">
        <v>2597</v>
      </c>
      <c r="AC170" s="204" t="s">
        <v>2597</v>
      </c>
    </row>
    <row r="171" spans="1:29" ht="15">
      <c r="A171" s="182" t="s">
        <v>1316</v>
      </c>
      <c r="B171" s="182" t="s">
        <v>1830</v>
      </c>
      <c r="C171" s="182"/>
      <c r="D171" s="183">
        <v>2.4741</v>
      </c>
      <c r="E171" s="183">
        <v>1310.0582790293856</v>
      </c>
      <c r="F171" s="183">
        <v>1536.3911588980782</v>
      </c>
      <c r="G171" s="184">
        <v>0</v>
      </c>
      <c r="H171" s="184">
        <v>0</v>
      </c>
      <c r="I171" s="184">
        <v>0</v>
      </c>
      <c r="J171" s="177" t="b">
        <f>IF(ISBLANK(CertifiedCrop[[#This Row],[1. Identifiant interne d’exploitation agricole*]]),"",IF(ISERROR(MATCH(CertifiedCrop[[#This Row],[1. Identifiant interne d’exploitation agricole*]],GroupMember[1. Identifiant interne d’exploitation agricole*],0)),FALSE,TRUE))</f>
        <v>1</v>
      </c>
      <c r="K171" s="177" t="b">
        <f t="array" ref="K171">IF(ISBLANK(CertifiedCrop[[#This Row],[2. Produit agricole certifié*]]),"",IF(ISERROR(MATCH(1,(#REF!=CertifiedCrop[[#This Row],[2. Produit agricole certifié*]])*(#REF!=CertifiedCrop[[#This Row],[3. Variété**]]),0)),FALSE,TRUE))</f>
        <v>0</v>
      </c>
      <c r="L171" s="185" t="str">
        <f t="shared" si="10"/>
        <v/>
      </c>
      <c r="M171" s="186" t="str">
        <f t="shared" si="11"/>
        <v/>
      </c>
      <c r="N171" s="187" t="str">
        <f t="shared" si="12"/>
        <v/>
      </c>
      <c r="O171" s="188">
        <f t="shared" si="13"/>
        <v>529.50902511191373</v>
      </c>
      <c r="P171" s="188">
        <f t="shared" si="14"/>
        <v>620.98991912132828</v>
      </c>
      <c r="Q171" s="178" t="str">
        <f>IFERROR((VLOOKUP(A171,GM_Table,8,FALSE)-SUMIFS(D:D,A:A,A171,B:B,B171,C:C,C171)),"")</f>
        <v/>
      </c>
      <c r="R171" s="178" t="str">
        <f>IFERROR(CONCATENATE(VLOOKUP(A171,GM_Table,12,FALSE)," ",(VLOOKUP(A171,GM_Table,13,FALSE))),"")</f>
        <v/>
      </c>
      <c r="T171" s="203">
        <v>620.98991912132828</v>
      </c>
      <c r="U171" s="203">
        <v>0</v>
      </c>
      <c r="V171" s="204" t="s">
        <v>2597</v>
      </c>
      <c r="W171" s="203">
        <v>554.45528492975745</v>
      </c>
      <c r="X171" s="205">
        <v>-10.714285714285705</v>
      </c>
      <c r="Y171" s="204" t="s">
        <v>2597</v>
      </c>
      <c r="Z171" s="204" t="s">
        <v>2597</v>
      </c>
      <c r="AA171" s="204" t="s">
        <v>2597</v>
      </c>
      <c r="AB171" s="204" t="s">
        <v>2597</v>
      </c>
      <c r="AC171" s="204" t="s">
        <v>2597</v>
      </c>
    </row>
    <row r="172" spans="1:29" ht="15">
      <c r="A172" s="182" t="s">
        <v>1320</v>
      </c>
      <c r="B172" s="182" t="s">
        <v>1830</v>
      </c>
      <c r="C172" s="182"/>
      <c r="D172" s="183">
        <v>1.2532000000000001</v>
      </c>
      <c r="E172" s="183">
        <v>663.7427097604857</v>
      </c>
      <c r="F172" s="183">
        <v>777.04056036350062</v>
      </c>
      <c r="G172" s="184">
        <v>0</v>
      </c>
      <c r="H172" s="184">
        <v>0</v>
      </c>
      <c r="I172" s="184">
        <v>0</v>
      </c>
      <c r="J172" s="177" t="b">
        <f>IF(ISBLANK(CertifiedCrop[[#This Row],[1. Identifiant interne d’exploitation agricole*]]),"",IF(ISERROR(MATCH(CertifiedCrop[[#This Row],[1. Identifiant interne d’exploitation agricole*]],GroupMember[1. Identifiant interne d’exploitation agricole*],0)),FALSE,TRUE))</f>
        <v>1</v>
      </c>
      <c r="K172" s="177" t="b">
        <f t="array" ref="K172">IF(ISBLANK(CertifiedCrop[[#This Row],[2. Produit agricole certifié*]]),"",IF(ISERROR(MATCH(1,(#REF!=CertifiedCrop[[#This Row],[2. Produit agricole certifié*]])*(#REF!=CertifiedCrop[[#This Row],[3. Variété**]]),0)),FALSE,TRUE))</f>
        <v>0</v>
      </c>
      <c r="L172" s="185" t="str">
        <f t="shared" si="10"/>
        <v/>
      </c>
      <c r="M172" s="186" t="str">
        <f t="shared" si="11"/>
        <v/>
      </c>
      <c r="N172" s="187" t="str">
        <f t="shared" si="12"/>
        <v/>
      </c>
      <c r="O172" s="188">
        <f t="shared" si="13"/>
        <v>529.63829377632112</v>
      </c>
      <c r="P172" s="188">
        <f t="shared" si="14"/>
        <v>620.04513275095803</v>
      </c>
      <c r="Q172" s="178" t="str">
        <f>IFERROR((VLOOKUP(A172,GM_Table,8,FALSE)-SUMIFS(D:D,A:A,A172,B:B,B172,C:C,C172)),"")</f>
        <v/>
      </c>
      <c r="R172" s="178" t="str">
        <f>IFERROR(CONCATENATE(VLOOKUP(A172,GM_Table,12,FALSE)," ",(VLOOKUP(A172,GM_Table,13,FALSE))),"")</f>
        <v/>
      </c>
      <c r="T172" s="203">
        <v>620.04513275095803</v>
      </c>
      <c r="U172" s="203">
        <v>0</v>
      </c>
      <c r="V172" s="204" t="s">
        <v>2597</v>
      </c>
      <c r="W172" s="203">
        <v>553.61172567049823</v>
      </c>
      <c r="X172" s="205">
        <v>-10.714285714285717</v>
      </c>
      <c r="Y172" s="204" t="s">
        <v>2597</v>
      </c>
      <c r="Z172" s="204" t="s">
        <v>2597</v>
      </c>
      <c r="AA172" s="204" t="s">
        <v>2597</v>
      </c>
      <c r="AB172" s="204" t="s">
        <v>2597</v>
      </c>
      <c r="AC172" s="204" t="s">
        <v>2597</v>
      </c>
    </row>
    <row r="173" spans="1:29" ht="15">
      <c r="A173" s="182" t="s">
        <v>1325</v>
      </c>
      <c r="B173" s="182" t="s">
        <v>1830</v>
      </c>
      <c r="C173" s="182"/>
      <c r="D173" s="183">
        <v>1.4329000000000001</v>
      </c>
      <c r="E173" s="183">
        <v>759.75303420940816</v>
      </c>
      <c r="F173" s="183">
        <v>880.82192950736544</v>
      </c>
      <c r="G173" s="184">
        <v>0</v>
      </c>
      <c r="H173" s="184">
        <v>0</v>
      </c>
      <c r="I173" s="184">
        <v>0</v>
      </c>
      <c r="J173" s="177" t="b">
        <f>IF(ISBLANK(CertifiedCrop[[#This Row],[1. Identifiant interne d’exploitation agricole*]]),"",IF(ISERROR(MATCH(CertifiedCrop[[#This Row],[1. Identifiant interne d’exploitation agricole*]],GroupMember[1. Identifiant interne d’exploitation agricole*],0)),FALSE,TRUE))</f>
        <v>1</v>
      </c>
      <c r="K173" s="177" t="b">
        <f t="array" ref="K173">IF(ISBLANK(CertifiedCrop[[#This Row],[2. Produit agricole certifié*]]),"",IF(ISERROR(MATCH(1,(#REF!=CertifiedCrop[[#This Row],[2. Produit agricole certifié*]])*(#REF!=CertifiedCrop[[#This Row],[3. Variété**]]),0)),FALSE,TRUE))</f>
        <v>0</v>
      </c>
      <c r="L173" s="185" t="str">
        <f t="shared" si="10"/>
        <v/>
      </c>
      <c r="M173" s="186" t="str">
        <f t="shared" si="11"/>
        <v/>
      </c>
      <c r="N173" s="187" t="str">
        <f t="shared" si="12"/>
        <v/>
      </c>
      <c r="O173" s="188">
        <f t="shared" si="13"/>
        <v>530.22055566292704</v>
      </c>
      <c r="P173" s="188">
        <f t="shared" si="14"/>
        <v>614.71277095914957</v>
      </c>
      <c r="Q173" s="178" t="str">
        <f>IFERROR((VLOOKUP(A173,GM_Table,8,FALSE)-SUMIFS(D:D,A:A,A173,B:B,B173,C:C,C173)),"")</f>
        <v/>
      </c>
      <c r="R173" s="178" t="str">
        <f>IFERROR(CONCATENATE(VLOOKUP(A173,GM_Table,12,FALSE)," ",(VLOOKUP(A173,GM_Table,13,FALSE))),"")</f>
        <v/>
      </c>
      <c r="T173" s="203">
        <v>614.71277095914957</v>
      </c>
      <c r="U173" s="203">
        <v>0</v>
      </c>
      <c r="V173" s="204" t="s">
        <v>2597</v>
      </c>
      <c r="W173" s="203">
        <v>548.85068835638356</v>
      </c>
      <c r="X173" s="205">
        <v>-10.714285714285712</v>
      </c>
      <c r="Y173" s="204" t="s">
        <v>2597</v>
      </c>
      <c r="Z173" s="204" t="s">
        <v>2597</v>
      </c>
      <c r="AA173" s="204" t="s">
        <v>2597</v>
      </c>
      <c r="AB173" s="204" t="s">
        <v>2597</v>
      </c>
      <c r="AC173" s="204" t="s">
        <v>2597</v>
      </c>
    </row>
    <row r="174" spans="1:29" ht="15">
      <c r="A174" s="182" t="s">
        <v>1330</v>
      </c>
      <c r="B174" s="182" t="s">
        <v>1830</v>
      </c>
      <c r="C174" s="182"/>
      <c r="D174" s="183">
        <v>1.6072</v>
      </c>
      <c r="E174" s="183">
        <v>852.74201727464936</v>
      </c>
      <c r="F174" s="183">
        <v>996.97681508006747</v>
      </c>
      <c r="G174" s="184">
        <v>0</v>
      </c>
      <c r="H174" s="184">
        <v>0</v>
      </c>
      <c r="I174" s="184">
        <v>0</v>
      </c>
      <c r="J174" s="177" t="b">
        <f>IF(ISBLANK(CertifiedCrop[[#This Row],[1. Identifiant interne d’exploitation agricole*]]),"",IF(ISERROR(MATCH(CertifiedCrop[[#This Row],[1. Identifiant interne d’exploitation agricole*]],GroupMember[1. Identifiant interne d’exploitation agricole*],0)),FALSE,TRUE))</f>
        <v>1</v>
      </c>
      <c r="K174" s="177" t="b">
        <f t="array" ref="K174">IF(ISBLANK(CertifiedCrop[[#This Row],[2. Produit agricole certifié*]]),"",IF(ISERROR(MATCH(1,(#REF!=CertifiedCrop[[#This Row],[2. Produit agricole certifié*]])*(#REF!=CertifiedCrop[[#This Row],[3. Variété**]]),0)),FALSE,TRUE))</f>
        <v>0</v>
      </c>
      <c r="L174" s="185" t="str">
        <f t="shared" si="10"/>
        <v/>
      </c>
      <c r="M174" s="186" t="str">
        <f t="shared" si="11"/>
        <v/>
      </c>
      <c r="N174" s="187" t="str">
        <f t="shared" si="12"/>
        <v/>
      </c>
      <c r="O174" s="188">
        <f t="shared" si="13"/>
        <v>530.5761680404737</v>
      </c>
      <c r="P174" s="188">
        <f t="shared" si="14"/>
        <v>620.3190735938698</v>
      </c>
      <c r="Q174" s="178" t="str">
        <f>IFERROR((VLOOKUP(A174,GM_Table,8,FALSE)-SUMIFS(D:D,A:A,A174,B:B,B174,C:C,C174)),"")</f>
        <v/>
      </c>
      <c r="R174" s="178" t="str">
        <f>IFERROR(CONCATENATE(VLOOKUP(A174,GM_Table,12,FALSE)," ",(VLOOKUP(A174,GM_Table,13,FALSE))),"")</f>
        <v/>
      </c>
      <c r="T174" s="203">
        <v>620.3190735938698</v>
      </c>
      <c r="U174" s="203">
        <v>0</v>
      </c>
      <c r="V174" s="204" t="s">
        <v>2597</v>
      </c>
      <c r="W174" s="203">
        <v>553.8563157088123</v>
      </c>
      <c r="X174" s="205">
        <v>-10.714285714285717</v>
      </c>
      <c r="Y174" s="204" t="s">
        <v>2597</v>
      </c>
      <c r="Z174" s="204" t="s">
        <v>2597</v>
      </c>
      <c r="AA174" s="204" t="s">
        <v>2597</v>
      </c>
      <c r="AB174" s="204" t="s">
        <v>2597</v>
      </c>
      <c r="AC174" s="204" t="s">
        <v>2597</v>
      </c>
    </row>
    <row r="175" spans="1:29" ht="15">
      <c r="A175" s="182" t="s">
        <v>1332</v>
      </c>
      <c r="B175" s="182" t="s">
        <v>1830</v>
      </c>
      <c r="C175" s="182"/>
      <c r="D175" s="183">
        <v>4.8788</v>
      </c>
      <c r="E175" s="183">
        <v>2595.4588835666596</v>
      </c>
      <c r="F175" s="183">
        <v>3018.7643964054701</v>
      </c>
      <c r="G175" s="184">
        <v>0</v>
      </c>
      <c r="H175" s="184">
        <v>0</v>
      </c>
      <c r="I175" s="184">
        <v>0</v>
      </c>
      <c r="J175" s="177" t="b">
        <f>IF(ISBLANK(CertifiedCrop[[#This Row],[1. Identifiant interne d’exploitation agricole*]]),"",IF(ISERROR(MATCH(CertifiedCrop[[#This Row],[1. Identifiant interne d’exploitation agricole*]],GroupMember[1. Identifiant interne d’exploitation agricole*],0)),FALSE,TRUE))</f>
        <v>1</v>
      </c>
      <c r="K175" s="177" t="b">
        <f t="array" ref="K175">IF(ISBLANK(CertifiedCrop[[#This Row],[2. Produit agricole certifié*]]),"",IF(ISERROR(MATCH(1,(#REF!=CertifiedCrop[[#This Row],[2. Produit agricole certifié*]])*(#REF!=CertifiedCrop[[#This Row],[3. Variété**]]),0)),FALSE,TRUE))</f>
        <v>0</v>
      </c>
      <c r="L175" s="185" t="str">
        <f t="shared" si="10"/>
        <v/>
      </c>
      <c r="M175" s="186" t="str">
        <f t="shared" si="11"/>
        <v/>
      </c>
      <c r="N175" s="187" t="str">
        <f t="shared" si="12"/>
        <v/>
      </c>
      <c r="O175" s="188">
        <f t="shared" si="13"/>
        <v>531.98714511081812</v>
      </c>
      <c r="P175" s="188">
        <f t="shared" si="14"/>
        <v>618.75141354543541</v>
      </c>
      <c r="Q175" s="178" t="str">
        <f>IFERROR((VLOOKUP(A175,GM_Table,8,FALSE)-SUMIFS(D:D,A:A,A175,B:B,B175,C:C,C175)),"")</f>
        <v/>
      </c>
      <c r="R175" s="178" t="str">
        <f>IFERROR(CONCATENATE(VLOOKUP(A175,GM_Table,12,FALSE)," ",(VLOOKUP(A175,GM_Table,13,FALSE))),"")</f>
        <v/>
      </c>
      <c r="T175" s="203">
        <v>622.85078224265635</v>
      </c>
      <c r="U175" s="203">
        <v>0</v>
      </c>
      <c r="V175" s="204" t="s">
        <v>2597</v>
      </c>
      <c r="W175" s="203">
        <v>556.11676985951465</v>
      </c>
      <c r="X175" s="205">
        <v>-10.714285714285706</v>
      </c>
      <c r="Y175" s="204" t="s">
        <v>2597</v>
      </c>
      <c r="Z175" s="204" t="s">
        <v>2597</v>
      </c>
      <c r="AA175" s="204" t="s">
        <v>2597</v>
      </c>
      <c r="AB175" s="204" t="s">
        <v>2597</v>
      </c>
      <c r="AC175" s="204" t="s">
        <v>2597</v>
      </c>
    </row>
    <row r="176" spans="1:29" ht="15">
      <c r="A176" s="182" t="s">
        <v>1336</v>
      </c>
      <c r="B176" s="182" t="s">
        <v>1830</v>
      </c>
      <c r="C176" s="182"/>
      <c r="D176" s="183">
        <v>0.74609999999999999</v>
      </c>
      <c r="E176" s="183">
        <v>397.84465957497019</v>
      </c>
      <c r="F176" s="183">
        <v>404.58637673568734</v>
      </c>
      <c r="G176" s="184">
        <v>0</v>
      </c>
      <c r="H176" s="184">
        <v>0</v>
      </c>
      <c r="I176" s="184">
        <v>0</v>
      </c>
      <c r="J176" s="177" t="b">
        <f>IF(ISBLANK(CertifiedCrop[[#This Row],[1. Identifiant interne d’exploitation agricole*]]),"",IF(ISERROR(MATCH(CertifiedCrop[[#This Row],[1. Identifiant interne d’exploitation agricole*]],GroupMember[1. Identifiant interne d’exploitation agricole*],0)),FALSE,TRUE))</f>
        <v>1</v>
      </c>
      <c r="K176" s="177" t="b">
        <f t="array" ref="K176">IF(ISBLANK(CertifiedCrop[[#This Row],[2. Produit agricole certifié*]]),"",IF(ISERROR(MATCH(1,(#REF!=CertifiedCrop[[#This Row],[2. Produit agricole certifié*]])*(#REF!=CertifiedCrop[[#This Row],[3. Variété**]]),0)),FALSE,TRUE))</f>
        <v>0</v>
      </c>
      <c r="L176" s="185" t="str">
        <f t="shared" si="10"/>
        <v/>
      </c>
      <c r="M176" s="186" t="str">
        <f t="shared" si="11"/>
        <v/>
      </c>
      <c r="N176" s="187" t="str">
        <f t="shared" si="12"/>
        <v/>
      </c>
      <c r="O176" s="188">
        <f t="shared" si="13"/>
        <v>533.2323543425415</v>
      </c>
      <c r="P176" s="188">
        <f t="shared" si="14"/>
        <v>542.26829746104727</v>
      </c>
      <c r="Q176" s="178" t="str">
        <f>IFERROR((VLOOKUP(A176,GM_Table,8,FALSE)-SUMIFS(D:D,A:A,A176,B:B,B176,C:C,C176)),"")</f>
        <v/>
      </c>
      <c r="R176" s="178" t="str">
        <f>IFERROR(CONCATENATE(VLOOKUP(A176,GM_Table,12,FALSE)," ",(VLOOKUP(A176,GM_Table,13,FALSE))),"")</f>
        <v/>
      </c>
      <c r="T176" s="203">
        <v>542.26829746104727</v>
      </c>
      <c r="U176" s="203">
        <v>0</v>
      </c>
      <c r="V176" s="204" t="s">
        <v>2597</v>
      </c>
      <c r="W176" s="203">
        <v>484.16812273307795</v>
      </c>
      <c r="X176" s="205">
        <v>-10.714285714285708</v>
      </c>
      <c r="Y176" s="204" t="s">
        <v>2597</v>
      </c>
      <c r="Z176" s="204" t="s">
        <v>2597</v>
      </c>
      <c r="AA176" s="204" t="s">
        <v>2597</v>
      </c>
      <c r="AB176" s="204" t="s">
        <v>2597</v>
      </c>
      <c r="AC176" s="204" t="s">
        <v>2597</v>
      </c>
    </row>
    <row r="177" spans="1:29" ht="15">
      <c r="A177" s="182" t="s">
        <v>1340</v>
      </c>
      <c r="B177" s="182" t="s">
        <v>1830</v>
      </c>
      <c r="C177" s="182"/>
      <c r="D177" s="183">
        <v>0.72260000000000002</v>
      </c>
      <c r="E177" s="183">
        <v>385.40122203924597</v>
      </c>
      <c r="F177" s="183">
        <v>391.82993101979469</v>
      </c>
      <c r="G177" s="184">
        <v>0</v>
      </c>
      <c r="H177" s="184">
        <v>0</v>
      </c>
      <c r="I177" s="184">
        <v>0</v>
      </c>
      <c r="J177" s="177" t="b">
        <f>IF(ISBLANK(CertifiedCrop[[#This Row],[1. Identifiant interne d’exploitation agricole*]]),"",IF(ISERROR(MATCH(CertifiedCrop[[#This Row],[1. Identifiant interne d’exploitation agricole*]],GroupMember[1. Identifiant interne d’exploitation agricole*],0)),FALSE,TRUE))</f>
        <v>1</v>
      </c>
      <c r="K177" s="177" t="b">
        <f t="array" ref="K177">IF(ISBLANK(CertifiedCrop[[#This Row],[2. Produit agricole certifié*]]),"",IF(ISERROR(MATCH(1,(#REF!=CertifiedCrop[[#This Row],[2. Produit agricole certifié*]])*(#REF!=CertifiedCrop[[#This Row],[3. Variété**]]),0)),FALSE,TRUE))</f>
        <v>0</v>
      </c>
      <c r="L177" s="185" t="str">
        <f t="shared" si="10"/>
        <v/>
      </c>
      <c r="M177" s="186" t="str">
        <f t="shared" si="11"/>
        <v/>
      </c>
      <c r="N177" s="187" t="str">
        <f t="shared" si="12"/>
        <v/>
      </c>
      <c r="O177" s="188">
        <f t="shared" si="13"/>
        <v>533.35347638976748</v>
      </c>
      <c r="P177" s="188">
        <f t="shared" si="14"/>
        <v>542.2501121226054</v>
      </c>
      <c r="Q177" s="178" t="str">
        <f>IFERROR((VLOOKUP(A177,GM_Table,8,FALSE)-SUMIFS(D:D,A:A,A177,B:B,B177,C:C,C177)),"")</f>
        <v/>
      </c>
      <c r="R177" s="178" t="str">
        <f>IFERROR(CONCATENATE(VLOOKUP(A177,GM_Table,12,FALSE)," ",(VLOOKUP(A177,GM_Table,13,FALSE))),"")</f>
        <v/>
      </c>
      <c r="T177" s="203">
        <v>542.2501121226054</v>
      </c>
      <c r="U177" s="203">
        <v>0</v>
      </c>
      <c r="V177" s="204" t="s">
        <v>2597</v>
      </c>
      <c r="W177" s="203">
        <v>484.15188582375487</v>
      </c>
      <c r="X177" s="205">
        <v>-10.714285714285705</v>
      </c>
      <c r="Y177" s="204" t="s">
        <v>2597</v>
      </c>
      <c r="Z177" s="204" t="s">
        <v>2597</v>
      </c>
      <c r="AA177" s="204" t="s">
        <v>2597</v>
      </c>
      <c r="AB177" s="204" t="s">
        <v>2597</v>
      </c>
      <c r="AC177" s="204" t="s">
        <v>2597</v>
      </c>
    </row>
    <row r="178" spans="1:29" ht="15">
      <c r="A178" s="182" t="s">
        <v>1344</v>
      </c>
      <c r="B178" s="182" t="s">
        <v>1830</v>
      </c>
      <c r="C178" s="182"/>
      <c r="D178" s="183">
        <v>3.4203000000000001</v>
      </c>
      <c r="E178" s="183">
        <v>1825.4067356517205</v>
      </c>
      <c r="F178" s="183">
        <v>2126.4762029251251</v>
      </c>
      <c r="G178" s="184">
        <v>0</v>
      </c>
      <c r="H178" s="184">
        <v>0</v>
      </c>
      <c r="I178" s="184">
        <v>0</v>
      </c>
      <c r="J178" s="177" t="b">
        <f>IF(ISBLANK(CertifiedCrop[[#This Row],[1. Identifiant interne d’exploitation agricole*]]),"",IF(ISERROR(MATCH(CertifiedCrop[[#This Row],[1. Identifiant interne d’exploitation agricole*]],GroupMember[1. Identifiant interne d’exploitation agricole*],0)),FALSE,TRUE))</f>
        <v>1</v>
      </c>
      <c r="K178" s="177" t="b">
        <f t="array" ref="K178">IF(ISBLANK(CertifiedCrop[[#This Row],[2. Produit agricole certifié*]]),"",IF(ISERROR(MATCH(1,(#REF!=CertifiedCrop[[#This Row],[2. Produit agricole certifié*]])*(#REF!=CertifiedCrop[[#This Row],[3. Variété**]]),0)),FALSE,TRUE))</f>
        <v>0</v>
      </c>
      <c r="L178" s="185" t="str">
        <f t="shared" si="10"/>
        <v/>
      </c>
      <c r="M178" s="186" t="str">
        <f t="shared" si="11"/>
        <v/>
      </c>
      <c r="N178" s="187" t="str">
        <f t="shared" si="12"/>
        <v/>
      </c>
      <c r="O178" s="188">
        <f t="shared" si="13"/>
        <v>533.69784394694045</v>
      </c>
      <c r="P178" s="188">
        <f t="shared" si="14"/>
        <v>621.72213049297579</v>
      </c>
      <c r="Q178" s="178" t="str">
        <f>IFERROR((VLOOKUP(A178,GM_Table,8,FALSE)-SUMIFS(D:D,A:A,A178,B:B,B178,C:C,C178)),"")</f>
        <v/>
      </c>
      <c r="R178" s="178" t="str">
        <f>IFERROR(CONCATENATE(VLOOKUP(A178,GM_Table,12,FALSE)," ",(VLOOKUP(A178,GM_Table,13,FALSE))),"")</f>
        <v/>
      </c>
      <c r="T178" s="203">
        <v>621.72213049297579</v>
      </c>
      <c r="U178" s="203">
        <v>0</v>
      </c>
      <c r="V178" s="204" t="s">
        <v>2597</v>
      </c>
      <c r="W178" s="203">
        <v>555.10904508301405</v>
      </c>
      <c r="X178" s="205">
        <v>-10.714285714285722</v>
      </c>
      <c r="Y178" s="204" t="s">
        <v>2597</v>
      </c>
      <c r="Z178" s="204" t="s">
        <v>2597</v>
      </c>
      <c r="AA178" s="204" t="s">
        <v>2597</v>
      </c>
      <c r="AB178" s="204" t="s">
        <v>2597</v>
      </c>
      <c r="AC178" s="204" t="s">
        <v>2597</v>
      </c>
    </row>
    <row r="179" spans="1:29" ht="15">
      <c r="A179" s="182" t="s">
        <v>1348</v>
      </c>
      <c r="B179" s="182" t="s">
        <v>1830</v>
      </c>
      <c r="C179" s="182"/>
      <c r="D179" s="183">
        <v>1.9568000000000001</v>
      </c>
      <c r="E179" s="183">
        <v>1044.4467656086779</v>
      </c>
      <c r="F179" s="183">
        <v>1214.3697479133341</v>
      </c>
      <c r="G179" s="184">
        <v>0</v>
      </c>
      <c r="H179" s="184">
        <v>0</v>
      </c>
      <c r="I179" s="184">
        <v>0</v>
      </c>
      <c r="J179" s="177" t="b">
        <f>IF(ISBLANK(CertifiedCrop[[#This Row],[1. Identifiant interne d’exploitation agricole*]]),"",IF(ISERROR(MATCH(CertifiedCrop[[#This Row],[1. Identifiant interne d’exploitation agricole*]],GroupMember[1. Identifiant interne d’exploitation agricole*],0)),FALSE,TRUE))</f>
        <v>1</v>
      </c>
      <c r="K179" s="177" t="b">
        <f t="array" ref="K179">IF(ISBLANK(CertifiedCrop[[#This Row],[2. Produit agricole certifié*]]),"",IF(ISERROR(MATCH(1,(#REF!=CertifiedCrop[[#This Row],[2. Produit agricole certifié*]])*(#REF!=CertifiedCrop[[#This Row],[3. Variété**]]),0)),FALSE,TRUE))</f>
        <v>0</v>
      </c>
      <c r="L179" s="185" t="str">
        <f t="shared" si="10"/>
        <v/>
      </c>
      <c r="M179" s="186" t="str">
        <f t="shared" si="11"/>
        <v/>
      </c>
      <c r="N179" s="187" t="str">
        <f t="shared" si="12"/>
        <v/>
      </c>
      <c r="O179" s="188">
        <f t="shared" si="13"/>
        <v>533.75243540917711</v>
      </c>
      <c r="P179" s="188">
        <f t="shared" si="14"/>
        <v>620.58960952234975</v>
      </c>
      <c r="Q179" s="178" t="str">
        <f>IFERROR((VLOOKUP(A179,GM_Table,8,FALSE)-SUMIFS(D:D,A:A,A179,B:B,B179,C:C,C179)),"")</f>
        <v/>
      </c>
      <c r="R179" s="178" t="str">
        <f>IFERROR(CONCATENATE(VLOOKUP(A179,GM_Table,12,FALSE)," ",(VLOOKUP(A179,GM_Table,13,FALSE))),"")</f>
        <v/>
      </c>
      <c r="T179" s="203">
        <v>620.58960952234975</v>
      </c>
      <c r="U179" s="203">
        <v>0</v>
      </c>
      <c r="V179" s="204" t="s">
        <v>2597</v>
      </c>
      <c r="W179" s="203">
        <v>554.09786564495516</v>
      </c>
      <c r="X179" s="205">
        <v>-10.71428571428571</v>
      </c>
      <c r="Y179" s="204" t="s">
        <v>2597</v>
      </c>
      <c r="Z179" s="204" t="s">
        <v>2597</v>
      </c>
      <c r="AA179" s="204" t="s">
        <v>2597</v>
      </c>
      <c r="AB179" s="204" t="s">
        <v>2597</v>
      </c>
      <c r="AC179" s="204" t="s">
        <v>2597</v>
      </c>
    </row>
    <row r="180" spans="1:29" ht="15">
      <c r="A180" s="182" t="s">
        <v>1352</v>
      </c>
      <c r="B180" s="182" t="s">
        <v>1830</v>
      </c>
      <c r="C180" s="182"/>
      <c r="D180" s="183">
        <v>0.3352</v>
      </c>
      <c r="E180" s="183">
        <v>179.17771102893917</v>
      </c>
      <c r="F180" s="183">
        <v>51.965462821860548</v>
      </c>
      <c r="G180" s="184">
        <v>0</v>
      </c>
      <c r="H180" s="184">
        <v>0</v>
      </c>
      <c r="I180" s="184">
        <v>0</v>
      </c>
      <c r="J180" s="177" t="b">
        <f>IF(ISBLANK(CertifiedCrop[[#This Row],[1. Identifiant interne d’exploitation agricole*]]),"",IF(ISERROR(MATCH(CertifiedCrop[[#This Row],[1. Identifiant interne d’exploitation agricole*]],GroupMember[1. Identifiant interne d’exploitation agricole*],0)),FALSE,TRUE))</f>
        <v>1</v>
      </c>
      <c r="K180" s="177" t="b">
        <f t="array" ref="K180">IF(ISBLANK(CertifiedCrop[[#This Row],[2. Produit agricole certifié*]]),"",IF(ISERROR(MATCH(1,(#REF!=CertifiedCrop[[#This Row],[2. Produit agricole certifié*]])*(#REF!=CertifiedCrop[[#This Row],[3. Variété**]]),0)),FALSE,TRUE))</f>
        <v>0</v>
      </c>
      <c r="L180" s="185" t="str">
        <f t="shared" si="10"/>
        <v/>
      </c>
      <c r="M180" s="186" t="str">
        <f t="shared" si="11"/>
        <v/>
      </c>
      <c r="N180" s="187" t="str">
        <f t="shared" si="12"/>
        <v/>
      </c>
      <c r="O180" s="188">
        <f t="shared" si="13"/>
        <v>534.53971070685907</v>
      </c>
      <c r="P180" s="188">
        <f t="shared" si="14"/>
        <v>155.02823037547896</v>
      </c>
      <c r="Q180" s="178" t="str">
        <f>IFERROR((VLOOKUP(A180,GM_Table,8,FALSE)-SUMIFS(D:D,A:A,A180,B:B,B180,C:C,C180)),"")</f>
        <v/>
      </c>
      <c r="R180" s="178" t="str">
        <f>IFERROR(CONCATENATE(VLOOKUP(A180,GM_Table,12,FALSE)," ",(VLOOKUP(A180,GM_Table,13,FALSE))),"")</f>
        <v/>
      </c>
      <c r="T180" s="203">
        <v>155.02823037547896</v>
      </c>
      <c r="U180" s="203">
        <v>0</v>
      </c>
      <c r="V180" s="204" t="s">
        <v>2597</v>
      </c>
      <c r="W180" s="203">
        <v>138.41806283524906</v>
      </c>
      <c r="X180" s="205">
        <v>-10.714285714285719</v>
      </c>
      <c r="Y180" s="204" t="s">
        <v>2597</v>
      </c>
      <c r="Z180" s="204" t="s">
        <v>2597</v>
      </c>
      <c r="AA180" s="204" t="s">
        <v>2597</v>
      </c>
      <c r="AB180" s="204" t="s">
        <v>2597</v>
      </c>
      <c r="AC180" s="204" t="s">
        <v>2597</v>
      </c>
    </row>
    <row r="181" spans="1:29" ht="15">
      <c r="A181" s="182" t="s">
        <v>1355</v>
      </c>
      <c r="B181" s="182" t="s">
        <v>1830</v>
      </c>
      <c r="C181" s="182"/>
      <c r="D181" s="183">
        <v>0.93759999999999999</v>
      </c>
      <c r="E181" s="183">
        <v>502.35133138163798</v>
      </c>
      <c r="F181" s="183">
        <v>508.5696997331533</v>
      </c>
      <c r="G181" s="184">
        <v>0</v>
      </c>
      <c r="H181" s="184">
        <v>0</v>
      </c>
      <c r="I181" s="184">
        <v>0</v>
      </c>
      <c r="J181" s="177" t="b">
        <f>IF(ISBLANK(CertifiedCrop[[#This Row],[1. Identifiant interne d’exploitation agricole*]]),"",IF(ISERROR(MATCH(CertifiedCrop[[#This Row],[1. Identifiant interne d’exploitation agricole*]],GroupMember[1. Identifiant interne d’exploitation agricole*],0)),FALSE,TRUE))</f>
        <v>1</v>
      </c>
      <c r="K181" s="177" t="b">
        <f t="array" ref="K181">IF(ISBLANK(CertifiedCrop[[#This Row],[2. Produit agricole certifié*]]),"",IF(ISERROR(MATCH(1,(#REF!=CertifiedCrop[[#This Row],[2. Produit agricole certifié*]])*(#REF!=CertifiedCrop[[#This Row],[3. Variété**]]),0)),FALSE,TRUE))</f>
        <v>0</v>
      </c>
      <c r="L181" s="185" t="str">
        <f t="shared" si="10"/>
        <v/>
      </c>
      <c r="M181" s="186" t="str">
        <f t="shared" si="11"/>
        <v/>
      </c>
      <c r="N181" s="187" t="str">
        <f t="shared" si="12"/>
        <v/>
      </c>
      <c r="O181" s="188">
        <f t="shared" si="13"/>
        <v>535.78426981829989</v>
      </c>
      <c r="P181" s="188">
        <f t="shared" si="14"/>
        <v>542.41648862324371</v>
      </c>
      <c r="Q181" s="178" t="str">
        <f>IFERROR((VLOOKUP(A181,GM_Table,8,FALSE)-SUMIFS(D:D,A:A,A181,B:B,B181,C:C,C181)),"")</f>
        <v/>
      </c>
      <c r="R181" s="178" t="str">
        <f>IFERROR(CONCATENATE(VLOOKUP(A181,GM_Table,12,FALSE)," ",(VLOOKUP(A181,GM_Table,13,FALSE))),"")</f>
        <v/>
      </c>
      <c r="T181" s="203">
        <v>542.41648862324371</v>
      </c>
      <c r="U181" s="203">
        <v>0</v>
      </c>
      <c r="V181" s="204" t="s">
        <v>2597</v>
      </c>
      <c r="W181" s="203">
        <v>484.30043627075332</v>
      </c>
      <c r="X181" s="205">
        <v>-10.714285714285712</v>
      </c>
      <c r="Y181" s="204" t="s">
        <v>2597</v>
      </c>
      <c r="Z181" s="204" t="s">
        <v>2597</v>
      </c>
      <c r="AA181" s="204" t="s">
        <v>2597</v>
      </c>
      <c r="AB181" s="204" t="s">
        <v>2597</v>
      </c>
      <c r="AC181" s="204" t="s">
        <v>2597</v>
      </c>
    </row>
    <row r="182" spans="1:29" ht="15">
      <c r="A182" s="182" t="s">
        <v>1360</v>
      </c>
      <c r="B182" s="182" t="s">
        <v>1830</v>
      </c>
      <c r="C182" s="182"/>
      <c r="D182" s="183">
        <v>2.0085999999999999</v>
      </c>
      <c r="E182" s="183">
        <v>1077.0210974939464</v>
      </c>
      <c r="F182" s="183">
        <v>1246.5968046766834</v>
      </c>
      <c r="G182" s="184">
        <v>0</v>
      </c>
      <c r="H182" s="184">
        <v>0</v>
      </c>
      <c r="I182" s="184">
        <v>0</v>
      </c>
      <c r="J182" s="177" t="b">
        <f>IF(ISBLANK(CertifiedCrop[[#This Row],[1. Identifiant interne d’exploitation agricole*]]),"",IF(ISERROR(MATCH(CertifiedCrop[[#This Row],[1. Identifiant interne d’exploitation agricole*]],GroupMember[1. Identifiant interne d’exploitation agricole*],0)),FALSE,TRUE))</f>
        <v>1</v>
      </c>
      <c r="K182" s="177" t="b">
        <f t="array" ref="K182">IF(ISBLANK(CertifiedCrop[[#This Row],[2. Produit agricole certifié*]]),"",IF(ISERROR(MATCH(1,(#REF!=CertifiedCrop[[#This Row],[2. Produit agricole certifié*]])*(#REF!=CertifiedCrop[[#This Row],[3. Variété**]]),0)),FALSE,TRUE))</f>
        <v>0</v>
      </c>
      <c r="L182" s="185" t="str">
        <f t="shared" si="10"/>
        <v/>
      </c>
      <c r="M182" s="186" t="str">
        <f t="shared" si="11"/>
        <v/>
      </c>
      <c r="N182" s="187" t="str">
        <f t="shared" si="12"/>
        <v/>
      </c>
      <c r="O182" s="188">
        <f t="shared" si="13"/>
        <v>536.20486781536715</v>
      </c>
      <c r="P182" s="188">
        <f t="shared" si="14"/>
        <v>620.62969465134097</v>
      </c>
      <c r="Q182" s="178" t="str">
        <f>IFERROR((VLOOKUP(A182,GM_Table,8,FALSE)-SUMIFS(D:D,A:A,A182,B:B,B182,C:C,C182)),"")</f>
        <v/>
      </c>
      <c r="R182" s="178" t="str">
        <f>IFERROR(CONCATENATE(VLOOKUP(A182,GM_Table,12,FALSE)," ",(VLOOKUP(A182,GM_Table,13,FALSE))),"")</f>
        <v/>
      </c>
      <c r="T182" s="203">
        <v>620.62969465134097</v>
      </c>
      <c r="U182" s="203">
        <v>0</v>
      </c>
      <c r="V182" s="204" t="s">
        <v>2597</v>
      </c>
      <c r="W182" s="203">
        <v>554.1336559386973</v>
      </c>
      <c r="X182" s="205">
        <v>-10.714285714285712</v>
      </c>
      <c r="Y182" s="204" t="s">
        <v>2597</v>
      </c>
      <c r="Z182" s="204" t="s">
        <v>2597</v>
      </c>
      <c r="AA182" s="204" t="s">
        <v>2597</v>
      </c>
      <c r="AB182" s="204" t="s">
        <v>2597</v>
      </c>
      <c r="AC182" s="204" t="s">
        <v>2597</v>
      </c>
    </row>
    <row r="183" spans="1:29" ht="15">
      <c r="A183" s="182" t="s">
        <v>1363</v>
      </c>
      <c r="B183" s="182" t="s">
        <v>1830</v>
      </c>
      <c r="C183" s="182"/>
      <c r="D183" s="183">
        <v>1.1625000000000001</v>
      </c>
      <c r="E183" s="183">
        <v>623.43803655881675</v>
      </c>
      <c r="F183" s="183">
        <v>720.72087365900393</v>
      </c>
      <c r="G183" s="184">
        <v>0</v>
      </c>
      <c r="H183" s="184">
        <v>0</v>
      </c>
      <c r="I183" s="184">
        <v>0</v>
      </c>
      <c r="J183" s="177" t="b">
        <f>IF(ISBLANK(CertifiedCrop[[#This Row],[1. Identifiant interne d’exploitation agricole*]]),"",IF(ISERROR(MATCH(CertifiedCrop[[#This Row],[1. Identifiant interne d’exploitation agricole*]],GroupMember[1. Identifiant interne d’exploitation agricole*],0)),FALSE,TRUE))</f>
        <v>1</v>
      </c>
      <c r="K183" s="177" t="b">
        <f t="array" ref="K183">IF(ISBLANK(CertifiedCrop[[#This Row],[2. Produit agricole certifié*]]),"",IF(ISERROR(MATCH(1,(#REF!=CertifiedCrop[[#This Row],[2. Produit agricole certifié*]])*(#REF!=CertifiedCrop[[#This Row],[3. Variété**]]),0)),FALSE,TRUE))</f>
        <v>0</v>
      </c>
      <c r="L183" s="185" t="str">
        <f t="shared" si="10"/>
        <v/>
      </c>
      <c r="M183" s="186" t="str">
        <f t="shared" si="11"/>
        <v/>
      </c>
      <c r="N183" s="187" t="str">
        <f t="shared" si="12"/>
        <v/>
      </c>
      <c r="O183" s="188">
        <f t="shared" si="13"/>
        <v>536.29078413661648</v>
      </c>
      <c r="P183" s="188">
        <f t="shared" si="14"/>
        <v>619.97494508301406</v>
      </c>
      <c r="Q183" s="178" t="str">
        <f>IFERROR((VLOOKUP(A183,GM_Table,8,FALSE)-SUMIFS(D:D,A:A,A183,B:B,B183,C:C,C183)),"")</f>
        <v/>
      </c>
      <c r="R183" s="178" t="str">
        <f>IFERROR(CONCATENATE(VLOOKUP(A183,GM_Table,12,FALSE)," ",(VLOOKUP(A183,GM_Table,13,FALSE))),"")</f>
        <v/>
      </c>
      <c r="T183" s="203">
        <v>619.97494508301406</v>
      </c>
      <c r="U183" s="203">
        <v>0</v>
      </c>
      <c r="V183" s="204" t="s">
        <v>2597</v>
      </c>
      <c r="W183" s="203">
        <v>553.54905810983394</v>
      </c>
      <c r="X183" s="205">
        <v>-10.714285714285722</v>
      </c>
      <c r="Y183" s="204" t="s">
        <v>2597</v>
      </c>
      <c r="Z183" s="204" t="s">
        <v>2597</v>
      </c>
      <c r="AA183" s="204" t="s">
        <v>2597</v>
      </c>
      <c r="AB183" s="204" t="s">
        <v>2597</v>
      </c>
      <c r="AC183" s="204" t="s">
        <v>2597</v>
      </c>
    </row>
    <row r="184" spans="1:29" ht="15">
      <c r="A184" s="182" t="s">
        <v>1367</v>
      </c>
      <c r="B184" s="182" t="s">
        <v>1830</v>
      </c>
      <c r="C184" s="182"/>
      <c r="D184" s="183">
        <v>2.7513000000000001</v>
      </c>
      <c r="E184" s="183">
        <v>1476.3193592460088</v>
      </c>
      <c r="F184" s="183">
        <v>1709.1197447662898</v>
      </c>
      <c r="G184" s="184">
        <v>0</v>
      </c>
      <c r="H184" s="184">
        <v>0</v>
      </c>
      <c r="I184" s="184">
        <v>0</v>
      </c>
      <c r="J184" s="177" t="b">
        <f>IF(ISBLANK(CertifiedCrop[[#This Row],[1. Identifiant interne d’exploitation agricole*]]),"",IF(ISERROR(MATCH(CertifiedCrop[[#This Row],[1. Identifiant interne d’exploitation agricole*]],GroupMember[1. Identifiant interne d’exploitation agricole*],0)),FALSE,TRUE))</f>
        <v>1</v>
      </c>
      <c r="K184" s="177" t="b">
        <f t="array" ref="K184">IF(ISBLANK(CertifiedCrop[[#This Row],[2. Produit agricole certifié*]]),"",IF(ISERROR(MATCH(1,(#REF!=CertifiedCrop[[#This Row],[2. Produit agricole certifié*]])*(#REF!=CertifiedCrop[[#This Row],[3. Variété**]]),0)),FALSE,TRUE))</f>
        <v>0</v>
      </c>
      <c r="L184" s="185" t="str">
        <f t="shared" si="10"/>
        <v/>
      </c>
      <c r="M184" s="186" t="str">
        <f t="shared" si="11"/>
        <v/>
      </c>
      <c r="N184" s="187" t="str">
        <f t="shared" si="12"/>
        <v/>
      </c>
      <c r="O184" s="188">
        <f t="shared" si="13"/>
        <v>536.58974275651826</v>
      </c>
      <c r="P184" s="188">
        <f t="shared" si="14"/>
        <v>621.20442873052366</v>
      </c>
      <c r="Q184" s="178" t="str">
        <f>IFERROR((VLOOKUP(A184,GM_Table,8,FALSE)-SUMIFS(D:D,A:A,A184,B:B,B184,C:C,C184)),"")</f>
        <v/>
      </c>
      <c r="R184" s="178" t="str">
        <f>IFERROR(CONCATENATE(VLOOKUP(A184,GM_Table,12,FALSE)," ",(VLOOKUP(A184,GM_Table,13,FALSE))),"")</f>
        <v/>
      </c>
      <c r="T184" s="203">
        <v>621.20442873052366</v>
      </c>
      <c r="U184" s="203">
        <v>0</v>
      </c>
      <c r="V184" s="204" t="s">
        <v>2597</v>
      </c>
      <c r="W184" s="203">
        <v>554.64681136653894</v>
      </c>
      <c r="X184" s="205">
        <v>-10.714285714285721</v>
      </c>
      <c r="Y184" s="204" t="s">
        <v>2597</v>
      </c>
      <c r="Z184" s="204" t="s">
        <v>2597</v>
      </c>
      <c r="AA184" s="204" t="s">
        <v>2597</v>
      </c>
      <c r="AB184" s="204" t="s">
        <v>2597</v>
      </c>
      <c r="AC184" s="204" t="s">
        <v>2597</v>
      </c>
    </row>
    <row r="185" spans="1:29" ht="15">
      <c r="A185" s="182" t="s">
        <v>1371</v>
      </c>
      <c r="B185" s="182" t="s">
        <v>1830</v>
      </c>
      <c r="C185" s="182"/>
      <c r="D185" s="183">
        <v>2.4681999999999999</v>
      </c>
      <c r="E185" s="183">
        <v>1324.7378266979974</v>
      </c>
      <c r="F185" s="183">
        <v>1532.7160493621213</v>
      </c>
      <c r="G185" s="184">
        <v>0</v>
      </c>
      <c r="H185" s="184">
        <v>0</v>
      </c>
      <c r="I185" s="184">
        <v>0</v>
      </c>
      <c r="J185" s="177" t="b">
        <f>IF(ISBLANK(CertifiedCrop[[#This Row],[1. Identifiant interne d’exploitation agricole*]]),"",IF(ISERROR(MATCH(CertifiedCrop[[#This Row],[1. Identifiant interne d’exploitation agricole*]],GroupMember[1. Identifiant interne d’exploitation agricole*],0)),FALSE,TRUE))</f>
        <v>1</v>
      </c>
      <c r="K185" s="177" t="b">
        <f t="array" ref="K185">IF(ISBLANK(CertifiedCrop[[#This Row],[2. Produit agricole certifié*]]),"",IF(ISERROR(MATCH(1,(#REF!=CertifiedCrop[[#This Row],[2. Produit agricole certifié*]])*(#REF!=CertifiedCrop[[#This Row],[3. Variété**]]),0)),FALSE,TRUE))</f>
        <v>0</v>
      </c>
      <c r="L185" s="185" t="str">
        <f t="shared" si="10"/>
        <v/>
      </c>
      <c r="M185" s="186" t="str">
        <f t="shared" si="11"/>
        <v/>
      </c>
      <c r="N185" s="187" t="str">
        <f t="shared" si="12"/>
        <v/>
      </c>
      <c r="O185" s="188">
        <f t="shared" si="13"/>
        <v>536.72223754071695</v>
      </c>
      <c r="P185" s="188">
        <f t="shared" si="14"/>
        <v>620.98535344061315</v>
      </c>
      <c r="Q185" s="178" t="str">
        <f>IFERROR((VLOOKUP(A185,GM_Table,8,FALSE)-SUMIFS(D:D,A:A,A185,B:B,B185,C:C,C185)),"")</f>
        <v/>
      </c>
      <c r="R185" s="178" t="str">
        <f>IFERROR(CONCATENATE(VLOOKUP(A185,GM_Table,12,FALSE)," ",(VLOOKUP(A185,GM_Table,13,FALSE))),"")</f>
        <v/>
      </c>
      <c r="T185" s="203">
        <v>620.98535344061315</v>
      </c>
      <c r="U185" s="203">
        <v>0</v>
      </c>
      <c r="V185" s="204" t="s">
        <v>2597</v>
      </c>
      <c r="W185" s="203">
        <v>554.45120842911888</v>
      </c>
      <c r="X185" s="205">
        <v>-10.714285714285715</v>
      </c>
      <c r="Y185" s="204" t="s">
        <v>2597</v>
      </c>
      <c r="Z185" s="204" t="s">
        <v>2597</v>
      </c>
      <c r="AA185" s="204" t="s">
        <v>2597</v>
      </c>
      <c r="AB185" s="204" t="s">
        <v>2597</v>
      </c>
      <c r="AC185" s="204" t="s">
        <v>2597</v>
      </c>
    </row>
    <row r="186" spans="1:29" ht="15">
      <c r="A186" s="182" t="s">
        <v>1376</v>
      </c>
      <c r="B186" s="182" t="s">
        <v>1830</v>
      </c>
      <c r="C186" s="182"/>
      <c r="D186" s="183">
        <v>1.3663000000000001</v>
      </c>
      <c r="E186" s="183">
        <v>734.41160330408854</v>
      </c>
      <c r="F186" s="183">
        <v>847.28724588261139</v>
      </c>
      <c r="G186" s="184">
        <v>0</v>
      </c>
      <c r="H186" s="184">
        <v>0</v>
      </c>
      <c r="I186" s="184">
        <v>0</v>
      </c>
      <c r="J186" s="177" t="b">
        <f>IF(ISBLANK(CertifiedCrop[[#This Row],[1. Identifiant interne d’exploitation agricole*]]),"",IF(ISERROR(MATCH(CertifiedCrop[[#This Row],[1. Identifiant interne d’exploitation agricole*]],GroupMember[1. Identifiant interne d’exploitation agricole*],0)),FALSE,TRUE))</f>
        <v>1</v>
      </c>
      <c r="K186" s="177" t="b">
        <f t="array" ref="K186">IF(ISBLANK(CertifiedCrop[[#This Row],[2. Produit agricole certifié*]]),"",IF(ISERROR(MATCH(1,(#REF!=CertifiedCrop[[#This Row],[2. Produit agricole certifié*]])*(#REF!=CertifiedCrop[[#This Row],[3. Variété**]]),0)),FALSE,TRUE))</f>
        <v>0</v>
      </c>
      <c r="L186" s="185" t="str">
        <f t="shared" si="10"/>
        <v/>
      </c>
      <c r="M186" s="186" t="str">
        <f t="shared" si="11"/>
        <v/>
      </c>
      <c r="N186" s="187" t="str">
        <f t="shared" si="12"/>
        <v/>
      </c>
      <c r="O186" s="188">
        <f t="shared" si="13"/>
        <v>537.51855617659999</v>
      </c>
      <c r="P186" s="188">
        <f t="shared" si="14"/>
        <v>620.13265452873554</v>
      </c>
      <c r="Q186" s="178" t="str">
        <f>IFERROR((VLOOKUP(A186,GM_Table,8,FALSE)-SUMIFS(D:D,A:A,A186,B:B,B186,C:C,C186)),"")</f>
        <v/>
      </c>
      <c r="R186" s="178" t="str">
        <f>IFERROR(CONCATENATE(VLOOKUP(A186,GM_Table,12,FALSE)," ",(VLOOKUP(A186,GM_Table,13,FALSE))),"")</f>
        <v/>
      </c>
      <c r="T186" s="203">
        <v>620.13265452873554</v>
      </c>
      <c r="U186" s="203">
        <v>0</v>
      </c>
      <c r="V186" s="204" t="s">
        <v>2597</v>
      </c>
      <c r="W186" s="203">
        <v>553.68987011494244</v>
      </c>
      <c r="X186" s="205">
        <v>-10.714285714285717</v>
      </c>
      <c r="Y186" s="204" t="s">
        <v>2597</v>
      </c>
      <c r="Z186" s="204" t="s">
        <v>2597</v>
      </c>
      <c r="AA186" s="204" t="s">
        <v>2597</v>
      </c>
      <c r="AB186" s="204" t="s">
        <v>2597</v>
      </c>
      <c r="AC186" s="204" t="s">
        <v>2597</v>
      </c>
    </row>
    <row r="187" spans="1:29" ht="15">
      <c r="A187" s="182" t="s">
        <v>1380</v>
      </c>
      <c r="B187" s="182" t="s">
        <v>1830</v>
      </c>
      <c r="C187" s="182"/>
      <c r="D187" s="183">
        <v>1.9247000000000001</v>
      </c>
      <c r="E187" s="183">
        <v>1034.6560135962509</v>
      </c>
      <c r="F187" s="183">
        <v>1194.4010111327366</v>
      </c>
      <c r="G187" s="184">
        <v>0</v>
      </c>
      <c r="H187" s="184">
        <v>0</v>
      </c>
      <c r="I187" s="184">
        <v>0</v>
      </c>
      <c r="J187" s="177" t="b">
        <f>IF(ISBLANK(CertifiedCrop[[#This Row],[1. Identifiant interne d’exploitation agricole*]]),"",IF(ISERROR(MATCH(CertifiedCrop[[#This Row],[1. Identifiant interne d’exploitation agricole*]],GroupMember[1. Identifiant interne d’exploitation agricole*],0)),FALSE,TRUE))</f>
        <v>1</v>
      </c>
      <c r="K187" s="177" t="b">
        <f t="array" ref="K187">IF(ISBLANK(CertifiedCrop[[#This Row],[2. Produit agricole certifié*]]),"",IF(ISERROR(MATCH(1,(#REF!=CertifiedCrop[[#This Row],[2. Produit agricole certifié*]])*(#REF!=CertifiedCrop[[#This Row],[3. Variété**]]),0)),FALSE,TRUE))</f>
        <v>0</v>
      </c>
      <c r="L187" s="185" t="str">
        <f t="shared" si="10"/>
        <v/>
      </c>
      <c r="M187" s="186" t="str">
        <f t="shared" si="11"/>
        <v/>
      </c>
      <c r="N187" s="187" t="str">
        <f t="shared" si="12"/>
        <v/>
      </c>
      <c r="O187" s="188">
        <f t="shared" si="13"/>
        <v>537.56742016742908</v>
      </c>
      <c r="P187" s="188">
        <f t="shared" si="14"/>
        <v>620.56476912388246</v>
      </c>
      <c r="Q187" s="178" t="str">
        <f>IFERROR((VLOOKUP(A187,GM_Table,8,FALSE)-SUMIFS(D:D,A:A,A187,B:B,B187,C:C,C187)),"")</f>
        <v/>
      </c>
      <c r="R187" s="178" t="str">
        <f>IFERROR(CONCATENATE(VLOOKUP(A187,GM_Table,12,FALSE)," ",(VLOOKUP(A187,GM_Table,13,FALSE))),"")</f>
        <v/>
      </c>
      <c r="T187" s="203">
        <v>620.56476912388246</v>
      </c>
      <c r="U187" s="203">
        <v>0</v>
      </c>
      <c r="V187" s="204" t="s">
        <v>2597</v>
      </c>
      <c r="W187" s="203">
        <v>554.07568671775221</v>
      </c>
      <c r="X187" s="205">
        <v>-10.714285714285712</v>
      </c>
      <c r="Y187" s="204" t="s">
        <v>2597</v>
      </c>
      <c r="Z187" s="204" t="s">
        <v>2597</v>
      </c>
      <c r="AA187" s="204" t="s">
        <v>2597</v>
      </c>
      <c r="AB187" s="204" t="s">
        <v>2597</v>
      </c>
      <c r="AC187" s="204" t="s">
        <v>2597</v>
      </c>
    </row>
    <row r="188" spans="1:29" ht="15">
      <c r="A188" s="182" t="s">
        <v>1385</v>
      </c>
      <c r="B188" s="182" t="s">
        <v>1830</v>
      </c>
      <c r="C188" s="182"/>
      <c r="D188" s="183">
        <v>0.92979999999999996</v>
      </c>
      <c r="E188" s="183">
        <v>503.770348248603</v>
      </c>
      <c r="F188" s="183">
        <v>504.33323886334199</v>
      </c>
      <c r="G188" s="184">
        <v>0</v>
      </c>
      <c r="H188" s="184">
        <v>0</v>
      </c>
      <c r="I188" s="184">
        <v>0</v>
      </c>
      <c r="J188" s="177" t="b">
        <f>IF(ISBLANK(CertifiedCrop[[#This Row],[1. Identifiant interne d’exploitation agricole*]]),"",IF(ISERROR(MATCH(CertifiedCrop[[#This Row],[1. Identifiant interne d’exploitation agricole*]],GroupMember[1. Identifiant interne d’exploitation agricole*],0)),FALSE,TRUE))</f>
        <v>1</v>
      </c>
      <c r="K188" s="177" t="b">
        <f t="array" ref="K188">IF(ISBLANK(CertifiedCrop[[#This Row],[2. Produit agricole certifié*]]),"",IF(ISERROR(MATCH(1,(#REF!=CertifiedCrop[[#This Row],[2. Produit agricole certifié*]])*(#REF!=CertifiedCrop[[#This Row],[3. Variété**]]),0)),FALSE,TRUE))</f>
        <v>0</v>
      </c>
      <c r="L188" s="185" t="str">
        <f t="shared" si="10"/>
        <v/>
      </c>
      <c r="M188" s="186" t="str">
        <f t="shared" si="11"/>
        <v/>
      </c>
      <c r="N188" s="187" t="str">
        <f t="shared" si="12"/>
        <v/>
      </c>
      <c r="O188" s="188">
        <f t="shared" si="13"/>
        <v>541.80506372187892</v>
      </c>
      <c r="P188" s="188">
        <f t="shared" si="14"/>
        <v>542.41045263856961</v>
      </c>
      <c r="Q188" s="178" t="str">
        <f>IFERROR((VLOOKUP(A188,GM_Table,8,FALSE)-SUMIFS(D:D,A:A,A188,B:B,B188,C:C,C188)),"")</f>
        <v/>
      </c>
      <c r="R188" s="178" t="str">
        <f>IFERROR(CONCATENATE(VLOOKUP(A188,GM_Table,12,FALSE)," ",(VLOOKUP(A188,GM_Table,13,FALSE))),"")</f>
        <v/>
      </c>
      <c r="T188" s="203">
        <v>542.41045263856961</v>
      </c>
      <c r="U188" s="203">
        <v>0</v>
      </c>
      <c r="V188" s="204" t="s">
        <v>2597</v>
      </c>
      <c r="W188" s="203">
        <v>484.29504699872285</v>
      </c>
      <c r="X188" s="205">
        <v>-10.714285714285717</v>
      </c>
      <c r="Y188" s="204" t="s">
        <v>2597</v>
      </c>
      <c r="Z188" s="204" t="s">
        <v>2597</v>
      </c>
      <c r="AA188" s="204" t="s">
        <v>2597</v>
      </c>
      <c r="AB188" s="204" t="s">
        <v>2597</v>
      </c>
      <c r="AC188" s="204" t="s">
        <v>2597</v>
      </c>
    </row>
    <row r="189" spans="1:29" ht="15">
      <c r="A189" s="182" t="s">
        <v>1387</v>
      </c>
      <c r="B189" s="182" t="s">
        <v>1830</v>
      </c>
      <c r="C189" s="182"/>
      <c r="D189" s="183">
        <v>0.69530000000000003</v>
      </c>
      <c r="E189" s="183">
        <v>376.86577379339917</v>
      </c>
      <c r="F189" s="183">
        <v>377.01181408834327</v>
      </c>
      <c r="G189" s="184">
        <v>0</v>
      </c>
      <c r="H189" s="184">
        <v>0</v>
      </c>
      <c r="I189" s="184">
        <v>0</v>
      </c>
      <c r="J189" s="177" t="b">
        <f>IF(ISBLANK(CertifiedCrop[[#This Row],[1. Identifiant interne d’exploitation agricole*]]),"",IF(ISERROR(MATCH(CertifiedCrop[[#This Row],[1. Identifiant interne d’exploitation agricole*]],GroupMember[1. Identifiant interne d’exploitation agricole*],0)),FALSE,TRUE))</f>
        <v>1</v>
      </c>
      <c r="K189" s="177" t="b">
        <f t="array" ref="K189">IF(ISBLANK(CertifiedCrop[[#This Row],[2. Produit agricole certifié*]]),"",IF(ISERROR(MATCH(1,(#REF!=CertifiedCrop[[#This Row],[2. Produit agricole certifié*]])*(#REF!=CertifiedCrop[[#This Row],[3. Variété**]]),0)),FALSE,TRUE))</f>
        <v>0</v>
      </c>
      <c r="L189" s="185" t="str">
        <f t="shared" si="10"/>
        <v/>
      </c>
      <c r="M189" s="186" t="str">
        <f t="shared" si="11"/>
        <v/>
      </c>
      <c r="N189" s="187" t="str">
        <f t="shared" si="12"/>
        <v/>
      </c>
      <c r="O189" s="188">
        <f t="shared" si="13"/>
        <v>542.01894691988946</v>
      </c>
      <c r="P189" s="188">
        <f t="shared" si="14"/>
        <v>542.22898617624514</v>
      </c>
      <c r="Q189" s="178" t="str">
        <f>IFERROR((VLOOKUP(A189,GM_Table,8,FALSE)-SUMIFS(D:D,A:A,A189,B:B,B189,C:C,C189)),"")</f>
        <v/>
      </c>
      <c r="R189" s="178" t="str">
        <f>IFERROR(CONCATENATE(VLOOKUP(A189,GM_Table,12,FALSE)," ",(VLOOKUP(A189,GM_Table,13,FALSE))),"")</f>
        <v/>
      </c>
      <c r="T189" s="203">
        <v>542.22898617624514</v>
      </c>
      <c r="U189" s="203">
        <v>0</v>
      </c>
      <c r="V189" s="204" t="s">
        <v>2597</v>
      </c>
      <c r="W189" s="203">
        <v>484.13302337164743</v>
      </c>
      <c r="X189" s="205">
        <v>-10.714285714285719</v>
      </c>
      <c r="Y189" s="204" t="s">
        <v>2597</v>
      </c>
      <c r="Z189" s="204" t="s">
        <v>2597</v>
      </c>
      <c r="AA189" s="204" t="s">
        <v>2597</v>
      </c>
      <c r="AB189" s="204" t="s">
        <v>2597</v>
      </c>
      <c r="AC189" s="204" t="s">
        <v>2597</v>
      </c>
    </row>
    <row r="190" spans="1:29" ht="15">
      <c r="A190" s="182" t="s">
        <v>1390</v>
      </c>
      <c r="B190" s="182" t="s">
        <v>1830</v>
      </c>
      <c r="C190" s="182"/>
      <c r="D190" s="183">
        <v>6.7637999999999998</v>
      </c>
      <c r="E190" s="183">
        <v>3667.1791808498142</v>
      </c>
      <c r="F190" s="183">
        <v>3650.3844509417718</v>
      </c>
      <c r="G190" s="184">
        <v>0</v>
      </c>
      <c r="H190" s="184">
        <v>0</v>
      </c>
      <c r="I190" s="184">
        <v>0</v>
      </c>
      <c r="J190" s="177" t="b">
        <f>IF(ISBLANK(CertifiedCrop[[#This Row],[1. Identifiant interne d’exploitation agricole*]]),"",IF(ISERROR(MATCH(CertifiedCrop[[#This Row],[1. Identifiant interne d’exploitation agricole*]],GroupMember[1. Identifiant interne d’exploitation agricole*],0)),FALSE,TRUE))</f>
        <v>1</v>
      </c>
      <c r="K190" s="177" t="b">
        <f t="array" ref="K190">IF(ISBLANK(CertifiedCrop[[#This Row],[2. Produit agricole certifié*]]),"",IF(ISERROR(MATCH(1,(#REF!=CertifiedCrop[[#This Row],[2. Produit agricole certifié*]])*(#REF!=CertifiedCrop[[#This Row],[3. Variété**]]),0)),FALSE,TRUE))</f>
        <v>0</v>
      </c>
      <c r="L190" s="185" t="str">
        <f t="shared" si="10"/>
        <v/>
      </c>
      <c r="M190" s="186" t="str">
        <f t="shared" si="11"/>
        <v/>
      </c>
      <c r="N190" s="187" t="str">
        <f t="shared" si="12"/>
        <v/>
      </c>
      <c r="O190" s="188">
        <f t="shared" si="13"/>
        <v>542.17735309290845</v>
      </c>
      <c r="P190" s="188">
        <f t="shared" si="14"/>
        <v>539.69432137877698</v>
      </c>
      <c r="Q190" s="178" t="str">
        <f>IFERROR((VLOOKUP(A190,GM_Table,8,FALSE)-SUMIFS(D:D,A:A,A190,B:B,B190,C:C,C190)),"")</f>
        <v/>
      </c>
      <c r="R190" s="178" t="str">
        <f>IFERROR(CONCATENATE(VLOOKUP(A190,GM_Table,12,FALSE)," ",(VLOOKUP(A190,GM_Table,13,FALSE))),"")</f>
        <v/>
      </c>
      <c r="T190" s="203">
        <v>539.69432137877698</v>
      </c>
      <c r="U190" s="203">
        <v>0</v>
      </c>
      <c r="V190" s="204" t="s">
        <v>2597</v>
      </c>
      <c r="W190" s="203">
        <v>481.86992980247942</v>
      </c>
      <c r="X190" s="205">
        <v>-10.714285714285719</v>
      </c>
      <c r="Y190" s="204" t="s">
        <v>2597</v>
      </c>
      <c r="Z190" s="204" t="s">
        <v>2597</v>
      </c>
      <c r="AA190" s="204" t="s">
        <v>2597</v>
      </c>
      <c r="AB190" s="204" t="s">
        <v>2597</v>
      </c>
      <c r="AC190" s="204" t="s">
        <v>2597</v>
      </c>
    </row>
    <row r="191" spans="1:29" ht="15">
      <c r="A191" s="182" t="s">
        <v>1395</v>
      </c>
      <c r="B191" s="182" t="s">
        <v>1830</v>
      </c>
      <c r="C191" s="182"/>
      <c r="D191" s="183">
        <v>2.8378999999999999</v>
      </c>
      <c r="E191" s="183">
        <v>1539.4657048827114</v>
      </c>
      <c r="F191" s="183">
        <v>1763.106229898272</v>
      </c>
      <c r="G191" s="184">
        <v>0</v>
      </c>
      <c r="H191" s="184">
        <v>0</v>
      </c>
      <c r="I191" s="184">
        <v>0</v>
      </c>
      <c r="J191" s="177" t="b">
        <f>IF(ISBLANK(CertifiedCrop[[#This Row],[1. Identifiant interne d’exploitation agricole*]]),"",IF(ISERROR(MATCH(CertifiedCrop[[#This Row],[1. Identifiant interne d’exploitation agricole*]],GroupMember[1. Identifiant interne d’exploitation agricole*],0)),FALSE,TRUE))</f>
        <v>1</v>
      </c>
      <c r="K191" s="177" t="b">
        <f t="array" ref="K191">IF(ISBLANK(CertifiedCrop[[#This Row],[2. Produit agricole certifié*]]),"",IF(ISERROR(MATCH(1,(#REF!=CertifiedCrop[[#This Row],[2. Produit agricole certifié*]])*(#REF!=CertifiedCrop[[#This Row],[3. Variété**]]),0)),FALSE,TRUE))</f>
        <v>0</v>
      </c>
      <c r="L191" s="185" t="str">
        <f t="shared" si="10"/>
        <v/>
      </c>
      <c r="M191" s="186" t="str">
        <f t="shared" si="11"/>
        <v/>
      </c>
      <c r="N191" s="187" t="str">
        <f t="shared" si="12"/>
        <v/>
      </c>
      <c r="O191" s="188">
        <f t="shared" si="13"/>
        <v>542.46650864467085</v>
      </c>
      <c r="P191" s="188">
        <f t="shared" si="14"/>
        <v>621.27144363729235</v>
      </c>
      <c r="Q191" s="178" t="str">
        <f>IFERROR((VLOOKUP(A191,GM_Table,8,FALSE)-SUMIFS(D:D,A:A,A191,B:B,B191,C:C,C191)),"")</f>
        <v/>
      </c>
      <c r="R191" s="178" t="str">
        <f>IFERROR(CONCATENATE(VLOOKUP(A191,GM_Table,12,FALSE)," ",(VLOOKUP(A191,GM_Table,13,FALSE))),"")</f>
        <v/>
      </c>
      <c r="T191" s="203">
        <v>621.27144363729235</v>
      </c>
      <c r="U191" s="203">
        <v>0</v>
      </c>
      <c r="V191" s="204" t="s">
        <v>2597</v>
      </c>
      <c r="W191" s="203">
        <v>554.70664610472534</v>
      </c>
      <c r="X191" s="205">
        <v>-10.714285714285712</v>
      </c>
      <c r="Y191" s="204" t="s">
        <v>2597</v>
      </c>
      <c r="Z191" s="204" t="s">
        <v>2597</v>
      </c>
      <c r="AA191" s="204" t="s">
        <v>2597</v>
      </c>
      <c r="AB191" s="204" t="s">
        <v>2597</v>
      </c>
      <c r="AC191" s="204" t="s">
        <v>2597</v>
      </c>
    </row>
    <row r="192" spans="1:29" ht="15">
      <c r="A192" s="182" t="s">
        <v>1398</v>
      </c>
      <c r="B192" s="182" t="s">
        <v>1830</v>
      </c>
      <c r="C192" s="182"/>
      <c r="D192" s="183">
        <v>2.1526000000000001</v>
      </c>
      <c r="E192" s="183">
        <v>1169.0211924994874</v>
      </c>
      <c r="F192" s="183">
        <v>1336.2073525946605</v>
      </c>
      <c r="G192" s="184">
        <v>0</v>
      </c>
      <c r="H192" s="184">
        <v>0</v>
      </c>
      <c r="I192" s="184">
        <v>0</v>
      </c>
      <c r="J192" s="177" t="b">
        <f>IF(ISBLANK(CertifiedCrop[[#This Row],[1. Identifiant interne d’exploitation agricole*]]),"",IF(ISERROR(MATCH(CertifiedCrop[[#This Row],[1. Identifiant interne d’exploitation agricole*]],GroupMember[1. Identifiant interne d’exploitation agricole*],0)),FALSE,TRUE))</f>
        <v>1</v>
      </c>
      <c r="K192" s="177" t="b">
        <f t="array" ref="K192">IF(ISBLANK(CertifiedCrop[[#This Row],[2. Produit agricole certifié*]]),"",IF(ISERROR(MATCH(1,(#REF!=CertifiedCrop[[#This Row],[2. Produit agricole certifié*]])*(#REF!=CertifiedCrop[[#This Row],[3. Variété**]]),0)),FALSE,TRUE))</f>
        <v>0</v>
      </c>
      <c r="L192" s="185" t="str">
        <f t="shared" si="10"/>
        <v/>
      </c>
      <c r="M192" s="186" t="str">
        <f t="shared" si="11"/>
        <v/>
      </c>
      <c r="N192" s="187" t="str">
        <f t="shared" si="12"/>
        <v/>
      </c>
      <c r="O192" s="188">
        <f t="shared" si="13"/>
        <v>543.07404650166654</v>
      </c>
      <c r="P192" s="188">
        <f t="shared" si="14"/>
        <v>620.74112821455935</v>
      </c>
      <c r="Q192" s="178" t="str">
        <f>IFERROR((VLOOKUP(A192,GM_Table,8,FALSE)-SUMIFS(D:D,A:A,A192,B:B,B192,C:C,C192)),"")</f>
        <v/>
      </c>
      <c r="R192" s="178" t="str">
        <f>IFERROR(CONCATENATE(VLOOKUP(A192,GM_Table,12,FALSE)," ",(VLOOKUP(A192,GM_Table,13,FALSE))),"")</f>
        <v/>
      </c>
      <c r="T192" s="203">
        <v>620.74112821455935</v>
      </c>
      <c r="U192" s="203">
        <v>0</v>
      </c>
      <c r="V192" s="204" t="s">
        <v>2597</v>
      </c>
      <c r="W192" s="203">
        <v>554.23315019157087</v>
      </c>
      <c r="X192" s="205">
        <v>-10.714285714285712</v>
      </c>
      <c r="Y192" s="204" t="s">
        <v>2597</v>
      </c>
      <c r="Z192" s="204" t="s">
        <v>2597</v>
      </c>
      <c r="AA192" s="204" t="s">
        <v>2597</v>
      </c>
      <c r="AB192" s="204" t="s">
        <v>2597</v>
      </c>
      <c r="AC192" s="204" t="s">
        <v>2597</v>
      </c>
    </row>
    <row r="193" spans="1:29" ht="15">
      <c r="A193" s="182" t="s">
        <v>1401</v>
      </c>
      <c r="B193" s="182" t="s">
        <v>1830</v>
      </c>
      <c r="C193" s="182"/>
      <c r="D193" s="183">
        <v>5.6</v>
      </c>
      <c r="E193" s="183">
        <v>3051.1718514883883</v>
      </c>
      <c r="F193" s="183">
        <v>2903.0897205619458</v>
      </c>
      <c r="G193" s="184">
        <v>0</v>
      </c>
      <c r="H193" s="184">
        <v>0</v>
      </c>
      <c r="I193" s="184">
        <v>0</v>
      </c>
      <c r="J193" s="177" t="b">
        <f>IF(ISBLANK(CertifiedCrop[[#This Row],[1. Identifiant interne d’exploitation agricole*]]),"",IF(ISERROR(MATCH(CertifiedCrop[[#This Row],[1. Identifiant interne d’exploitation agricole*]],GroupMember[1. Identifiant interne d’exploitation agricole*],0)),FALSE,TRUE))</f>
        <v>1</v>
      </c>
      <c r="K193" s="177" t="b">
        <f t="array" ref="K193">IF(ISBLANK(CertifiedCrop[[#This Row],[2. Produit agricole certifié*]]),"",IF(ISERROR(MATCH(1,(#REF!=CertifiedCrop[[#This Row],[2. Produit agricole certifié*]])*(#REF!=CertifiedCrop[[#This Row],[3. Variété**]]),0)),FALSE,TRUE))</f>
        <v>0</v>
      </c>
      <c r="L193" s="185" t="str">
        <f t="shared" si="10"/>
        <v/>
      </c>
      <c r="M193" s="186" t="str">
        <f t="shared" si="11"/>
        <v/>
      </c>
      <c r="N193" s="187" t="str">
        <f t="shared" si="12"/>
        <v/>
      </c>
      <c r="O193" s="188">
        <f t="shared" si="13"/>
        <v>544.85211633721224</v>
      </c>
      <c r="P193" s="188">
        <f t="shared" si="14"/>
        <v>518.40887867177605</v>
      </c>
      <c r="Q193" s="178" t="str">
        <f>IFERROR((VLOOKUP(A193,GM_Table,8,FALSE)-SUMIFS(D:D,A:A,A193,B:B,B193,C:C,C193)),"")</f>
        <v/>
      </c>
      <c r="R193" s="178" t="str">
        <f>IFERROR(CONCATENATE(VLOOKUP(A193,GM_Table,12,FALSE)," ",(VLOOKUP(A193,GM_Table,13,FALSE))),"")</f>
        <v/>
      </c>
      <c r="T193" s="203">
        <v>518.40887867177605</v>
      </c>
      <c r="U193" s="203">
        <v>0</v>
      </c>
      <c r="V193" s="204" t="s">
        <v>2597</v>
      </c>
      <c r="W193" s="203">
        <v>462.86507024265717</v>
      </c>
      <c r="X193" s="205">
        <v>-10.714285714285717</v>
      </c>
      <c r="Y193" s="204" t="s">
        <v>2597</v>
      </c>
      <c r="Z193" s="204" t="s">
        <v>2597</v>
      </c>
      <c r="AA193" s="204" t="s">
        <v>2597</v>
      </c>
      <c r="AB193" s="204" t="s">
        <v>2597</v>
      </c>
      <c r="AC193" s="204" t="s">
        <v>2597</v>
      </c>
    </row>
    <row r="194" spans="1:29" ht="15">
      <c r="A194" s="182" t="s">
        <v>1406</v>
      </c>
      <c r="B194" s="182" t="s">
        <v>1830</v>
      </c>
      <c r="C194" s="182"/>
      <c r="D194" s="183">
        <v>1.4314</v>
      </c>
      <c r="E194" s="183">
        <v>780.73854706111274</v>
      </c>
      <c r="F194" s="183">
        <v>887.72999169767968</v>
      </c>
      <c r="G194" s="184">
        <v>0</v>
      </c>
      <c r="H194" s="184">
        <v>0</v>
      </c>
      <c r="I194" s="184">
        <v>0</v>
      </c>
      <c r="J194" s="177" t="b">
        <f>IF(ISBLANK(CertifiedCrop[[#This Row],[1. Identifiant interne d’exploitation agricole*]]),"",IF(ISERROR(MATCH(CertifiedCrop[[#This Row],[1. Identifiant interne d’exploitation agricole*]],GroupMember[1. Identifiant interne d’exploitation agricole*],0)),FALSE,TRUE))</f>
        <v>1</v>
      </c>
      <c r="K194" s="177" t="b">
        <f t="array" ref="K194">IF(ISBLANK(CertifiedCrop[[#This Row],[2. Produit agricole certifié*]]),"",IF(ISERROR(MATCH(1,(#REF!=CertifiedCrop[[#This Row],[2. Produit agricole certifié*]])*(#REF!=CertifiedCrop[[#This Row],[3. Variété**]]),0)),FALSE,TRUE))</f>
        <v>0</v>
      </c>
      <c r="L194" s="185" t="str">
        <f t="shared" si="10"/>
        <v/>
      </c>
      <c r="M194" s="186" t="str">
        <f t="shared" si="11"/>
        <v/>
      </c>
      <c r="N194" s="187" t="str">
        <f t="shared" si="12"/>
        <v/>
      </c>
      <c r="O194" s="188">
        <f t="shared" si="13"/>
        <v>545.43701764783623</v>
      </c>
      <c r="P194" s="188">
        <f t="shared" si="14"/>
        <v>620.18303178544056</v>
      </c>
      <c r="Q194" s="178" t="str">
        <f>IFERROR((VLOOKUP(A194,GM_Table,8,FALSE)-SUMIFS(D:D,A:A,A194,B:B,B194,C:C,C194)),"")</f>
        <v/>
      </c>
      <c r="R194" s="178" t="str">
        <f>IFERROR(CONCATENATE(VLOOKUP(A194,GM_Table,12,FALSE)," ",(VLOOKUP(A194,GM_Table,13,FALSE))),"")</f>
        <v/>
      </c>
      <c r="T194" s="203">
        <v>620.18303178544056</v>
      </c>
      <c r="U194" s="203">
        <v>0</v>
      </c>
      <c r="V194" s="204" t="s">
        <v>2597</v>
      </c>
      <c r="W194" s="203">
        <v>553.73484980842909</v>
      </c>
      <c r="X194" s="205">
        <v>-10.714285714285712</v>
      </c>
      <c r="Y194" s="204" t="s">
        <v>2597</v>
      </c>
      <c r="Z194" s="204" t="s">
        <v>2597</v>
      </c>
      <c r="AA194" s="204" t="s">
        <v>2597</v>
      </c>
      <c r="AB194" s="204" t="s">
        <v>2597</v>
      </c>
      <c r="AC194" s="204" t="s">
        <v>2597</v>
      </c>
    </row>
    <row r="195" spans="1:29" ht="15">
      <c r="A195" s="182" t="s">
        <v>1409</v>
      </c>
      <c r="B195" s="182" t="s">
        <v>1830</v>
      </c>
      <c r="C195" s="182"/>
      <c r="D195" s="183">
        <v>1.9187000000000001</v>
      </c>
      <c r="E195" s="183">
        <v>1048.3501162531256</v>
      </c>
      <c r="F195" s="183">
        <v>1190.6687138689206</v>
      </c>
      <c r="G195" s="184">
        <v>0</v>
      </c>
      <c r="H195" s="184">
        <v>0</v>
      </c>
      <c r="I195" s="184">
        <v>0</v>
      </c>
      <c r="J195" s="177" t="b">
        <f>IF(ISBLANK(CertifiedCrop[[#This Row],[1. Identifiant interne d’exploitation agricole*]]),"",IF(ISERROR(MATCH(CertifiedCrop[[#This Row],[1. Identifiant interne d’exploitation agricole*]],GroupMember[1. Identifiant interne d’exploitation agricole*],0)),FALSE,TRUE))</f>
        <v>1</v>
      </c>
      <c r="K195" s="177" t="b">
        <f t="array" ref="K195">IF(ISBLANK(CertifiedCrop[[#This Row],[2. Produit agricole certifié*]]),"",IF(ISERROR(MATCH(1,(#REF!=CertifiedCrop[[#This Row],[2. Produit agricole certifié*]])*(#REF!=CertifiedCrop[[#This Row],[3. Variété**]]),0)),FALSE,TRUE))</f>
        <v>0</v>
      </c>
      <c r="L195" s="185" t="str">
        <f t="shared" ref="L195:L258" si="15">IF((F195-G195)&lt;0,"!","")</f>
        <v/>
      </c>
      <c r="M195" s="186" t="str">
        <f t="shared" ref="M195:M258" si="16">IFERROR(IF((F195-G195)/G195&gt;25%,"!",IF((F195-G195)/G195&lt;-25%,"!","")),"")</f>
        <v/>
      </c>
      <c r="N195" s="187" t="str">
        <f t="shared" ref="N195:N258" si="17">IFERROR(IF((G195-H195)/H195&gt;25%,"!",IF((G195-H195)/H195&lt;-25%,"!","")),"")</f>
        <v/>
      </c>
      <c r="O195" s="188">
        <f t="shared" ref="O195:O258" si="18">IFERROR(E195/D195,"")</f>
        <v>546.38563415496196</v>
      </c>
      <c r="P195" s="188">
        <f t="shared" ref="P195:P258" si="19">IFERROR(F195/D195,"")</f>
        <v>620.56012605874844</v>
      </c>
      <c r="Q195" s="178" t="str">
        <f>IFERROR((VLOOKUP(A195,GM_Table,8,FALSE)-SUMIFS(D:D,A:A,A195,B:B,B195,C:C,C195)),"")</f>
        <v/>
      </c>
      <c r="R195" s="178" t="str">
        <f>IFERROR(CONCATENATE(VLOOKUP(A195,GM_Table,12,FALSE)," ",(VLOOKUP(A195,GM_Table,13,FALSE))),"")</f>
        <v/>
      </c>
      <c r="T195" s="203">
        <v>620.56012605874844</v>
      </c>
      <c r="U195" s="203">
        <v>0</v>
      </c>
      <c r="V195" s="204" t="s">
        <v>2597</v>
      </c>
      <c r="W195" s="203">
        <v>554.07154112388253</v>
      </c>
      <c r="X195" s="205">
        <v>-10.714285714285715</v>
      </c>
      <c r="Y195" s="204" t="s">
        <v>2597</v>
      </c>
      <c r="Z195" s="204" t="s">
        <v>2597</v>
      </c>
      <c r="AA195" s="204" t="s">
        <v>2597</v>
      </c>
      <c r="AB195" s="204" t="s">
        <v>2597</v>
      </c>
      <c r="AC195" s="204" t="s">
        <v>2597</v>
      </c>
    </row>
    <row r="196" spans="1:29" ht="15">
      <c r="A196" s="182" t="s">
        <v>1414</v>
      </c>
      <c r="B196" s="182" t="s">
        <v>1830</v>
      </c>
      <c r="C196" s="182"/>
      <c r="D196" s="183">
        <v>1.6782999999999999</v>
      </c>
      <c r="E196" s="183">
        <v>917.60573860574073</v>
      </c>
      <c r="F196" s="183">
        <v>1041.173841818734</v>
      </c>
      <c r="G196" s="184">
        <v>0</v>
      </c>
      <c r="H196" s="184">
        <v>0</v>
      </c>
      <c r="I196" s="184">
        <v>0</v>
      </c>
      <c r="J196" s="177" t="b">
        <f>IF(ISBLANK(CertifiedCrop[[#This Row],[1. Identifiant interne d’exploitation agricole*]]),"",IF(ISERROR(MATCH(CertifiedCrop[[#This Row],[1. Identifiant interne d’exploitation agricole*]],GroupMember[1. Identifiant interne d’exploitation agricole*],0)),FALSE,TRUE))</f>
        <v>1</v>
      </c>
      <c r="K196" s="177" t="b">
        <f t="array" ref="K196">IF(ISBLANK(CertifiedCrop[[#This Row],[2. Produit agricole certifié*]]),"",IF(ISERROR(MATCH(1,(#REF!=CertifiedCrop[[#This Row],[2. Produit agricole certifié*]])*(#REF!=CertifiedCrop[[#This Row],[3. Variété**]]),0)),FALSE,TRUE))</f>
        <v>0</v>
      </c>
      <c r="L196" s="185" t="str">
        <f t="shared" si="15"/>
        <v/>
      </c>
      <c r="M196" s="186" t="str">
        <f t="shared" si="16"/>
        <v/>
      </c>
      <c r="N196" s="187" t="str">
        <f t="shared" si="17"/>
        <v/>
      </c>
      <c r="O196" s="188">
        <f t="shared" si="18"/>
        <v>546.74714806991642</v>
      </c>
      <c r="P196" s="188">
        <f t="shared" si="19"/>
        <v>620.37409391570873</v>
      </c>
      <c r="Q196" s="178" t="str">
        <f>IFERROR((VLOOKUP(A196,GM_Table,8,FALSE)-SUMIFS(D:D,A:A,A196,B:B,B196,C:C,C196)),"")</f>
        <v/>
      </c>
      <c r="R196" s="178" t="str">
        <f>IFERROR(CONCATENATE(VLOOKUP(A196,GM_Table,12,FALSE)," ",(VLOOKUP(A196,GM_Table,13,FALSE))),"")</f>
        <v/>
      </c>
      <c r="T196" s="203">
        <v>620.37409391570873</v>
      </c>
      <c r="U196" s="203">
        <v>0</v>
      </c>
      <c r="V196" s="204" t="s">
        <v>2597</v>
      </c>
      <c r="W196" s="203">
        <v>553.90544099616864</v>
      </c>
      <c r="X196" s="205">
        <v>-10.714285714285692</v>
      </c>
      <c r="Y196" s="204" t="s">
        <v>2597</v>
      </c>
      <c r="Z196" s="204" t="s">
        <v>2597</v>
      </c>
      <c r="AA196" s="204" t="s">
        <v>2597</v>
      </c>
      <c r="AB196" s="204" t="s">
        <v>2597</v>
      </c>
      <c r="AC196" s="204" t="s">
        <v>2597</v>
      </c>
    </row>
    <row r="197" spans="1:29" ht="15">
      <c r="A197" s="182" t="s">
        <v>1418</v>
      </c>
      <c r="B197" s="182" t="s">
        <v>1830</v>
      </c>
      <c r="C197" s="182"/>
      <c r="D197" s="183">
        <v>2.8050999999999999</v>
      </c>
      <c r="E197" s="183">
        <v>1535.7353702746202</v>
      </c>
      <c r="F197" s="183">
        <v>1742.6573272479936</v>
      </c>
      <c r="G197" s="184">
        <v>0</v>
      </c>
      <c r="H197" s="184">
        <v>0</v>
      </c>
      <c r="I197" s="184">
        <v>0</v>
      </c>
      <c r="J197" s="177" t="b">
        <f>IF(ISBLANK(CertifiedCrop[[#This Row],[1. Identifiant interne d’exploitation agricole*]]),"",IF(ISERROR(MATCH(CertifiedCrop[[#This Row],[1. Identifiant interne d’exploitation agricole*]],GroupMember[1. Identifiant interne d’exploitation agricole*],0)),FALSE,TRUE))</f>
        <v>1</v>
      </c>
      <c r="K197" s="177" t="b">
        <f t="array" ref="K197">IF(ISBLANK(CertifiedCrop[[#This Row],[2. Produit agricole certifié*]]),"",IF(ISERROR(MATCH(1,(#REF!=CertifiedCrop[[#This Row],[2. Produit agricole certifié*]])*(#REF!=CertifiedCrop[[#This Row],[3. Variété**]]),0)),FALSE,TRUE))</f>
        <v>0</v>
      </c>
      <c r="L197" s="185" t="str">
        <f t="shared" si="15"/>
        <v/>
      </c>
      <c r="M197" s="186" t="str">
        <f t="shared" si="16"/>
        <v/>
      </c>
      <c r="N197" s="187" t="str">
        <f t="shared" si="17"/>
        <v/>
      </c>
      <c r="O197" s="188">
        <f t="shared" si="18"/>
        <v>547.47972274593428</v>
      </c>
      <c r="P197" s="188">
        <f t="shared" si="19"/>
        <v>621.24606154789262</v>
      </c>
      <c r="Q197" s="178" t="str">
        <f>IFERROR((VLOOKUP(A197,GM_Table,8,FALSE)-SUMIFS(D:D,A:A,A197,B:B,B197,C:C,C197)),"")</f>
        <v/>
      </c>
      <c r="R197" s="178" t="str">
        <f>IFERROR(CONCATENATE(VLOOKUP(A197,GM_Table,12,FALSE)," ",(VLOOKUP(A197,GM_Table,13,FALSE))),"")</f>
        <v/>
      </c>
      <c r="T197" s="203">
        <v>621.24606154789262</v>
      </c>
      <c r="U197" s="203">
        <v>0</v>
      </c>
      <c r="V197" s="204" t="s">
        <v>2597</v>
      </c>
      <c r="W197" s="203">
        <v>554.68398352490408</v>
      </c>
      <c r="X197" s="205">
        <v>-10.714285714285722</v>
      </c>
      <c r="Y197" s="204" t="s">
        <v>2597</v>
      </c>
      <c r="Z197" s="204" t="s">
        <v>2597</v>
      </c>
      <c r="AA197" s="204" t="s">
        <v>2597</v>
      </c>
      <c r="AB197" s="204" t="s">
        <v>2597</v>
      </c>
      <c r="AC197" s="204" t="s">
        <v>2597</v>
      </c>
    </row>
    <row r="198" spans="1:29" ht="15">
      <c r="A198" s="182" t="s">
        <v>1421</v>
      </c>
      <c r="B198" s="182" t="s">
        <v>1830</v>
      </c>
      <c r="C198" s="182"/>
      <c r="D198" s="183">
        <v>1.2374000000000001</v>
      </c>
      <c r="E198" s="183">
        <v>678.83785510850328</v>
      </c>
      <c r="F198" s="183">
        <v>767.22871790020349</v>
      </c>
      <c r="G198" s="184">
        <v>0</v>
      </c>
      <c r="H198" s="184">
        <v>0</v>
      </c>
      <c r="I198" s="184">
        <v>0</v>
      </c>
      <c r="J198" s="177" t="b">
        <f>IF(ISBLANK(CertifiedCrop[[#This Row],[1. Identifiant interne d’exploitation agricole*]]),"",IF(ISERROR(MATCH(CertifiedCrop[[#This Row],[1. Identifiant interne d’exploitation agricole*]],GroupMember[1. Identifiant interne d’exploitation agricole*],0)),FALSE,TRUE))</f>
        <v>1</v>
      </c>
      <c r="K198" s="177" t="b">
        <f t="array" ref="K198">IF(ISBLANK(CertifiedCrop[[#This Row],[2. Produit agricole certifié*]]),"",IF(ISERROR(MATCH(1,(#REF!=CertifiedCrop[[#This Row],[2. Produit agricole certifié*]])*(#REF!=CertifiedCrop[[#This Row],[3. Variété**]]),0)),FALSE,TRUE))</f>
        <v>0</v>
      </c>
      <c r="L198" s="185" t="str">
        <f t="shared" si="15"/>
        <v/>
      </c>
      <c r="M198" s="186" t="str">
        <f t="shared" si="16"/>
        <v/>
      </c>
      <c r="N198" s="187" t="str">
        <f t="shared" si="17"/>
        <v/>
      </c>
      <c r="O198" s="188">
        <f t="shared" si="18"/>
        <v>548.60017383910076</v>
      </c>
      <c r="P198" s="188">
        <f t="shared" si="19"/>
        <v>620.03290601277149</v>
      </c>
      <c r="Q198" s="178" t="str">
        <f>IFERROR((VLOOKUP(A198,GM_Table,8,FALSE)-SUMIFS(D:D,A:A,A198,B:B,B198,C:C,C198)),"")</f>
        <v/>
      </c>
      <c r="R198" s="178" t="str">
        <f>IFERROR(CONCATENATE(VLOOKUP(A198,GM_Table,12,FALSE)," ",(VLOOKUP(A198,GM_Table,13,FALSE))),"")</f>
        <v/>
      </c>
      <c r="T198" s="203">
        <v>620.03290601277149</v>
      </c>
      <c r="U198" s="203">
        <v>0</v>
      </c>
      <c r="V198" s="204" t="s">
        <v>2597</v>
      </c>
      <c r="W198" s="203">
        <v>553.60080893997451</v>
      </c>
      <c r="X198" s="205">
        <v>-10.714285714285719</v>
      </c>
      <c r="Y198" s="204" t="s">
        <v>2597</v>
      </c>
      <c r="Z198" s="204" t="s">
        <v>2597</v>
      </c>
      <c r="AA198" s="204" t="s">
        <v>2597</v>
      </c>
      <c r="AB198" s="204" t="s">
        <v>2597</v>
      </c>
      <c r="AC198" s="204" t="s">
        <v>2597</v>
      </c>
    </row>
    <row r="199" spans="1:29" ht="15">
      <c r="A199" s="182" t="s">
        <v>1423</v>
      </c>
      <c r="B199" s="182" t="s">
        <v>1830</v>
      </c>
      <c r="C199" s="182"/>
      <c r="D199" s="183">
        <v>1.9401999999999999</v>
      </c>
      <c r="E199" s="183">
        <v>1065.149231619456</v>
      </c>
      <c r="F199" s="183">
        <v>1204.0430369478379</v>
      </c>
      <c r="G199" s="184">
        <v>0</v>
      </c>
      <c r="H199" s="184">
        <v>0</v>
      </c>
      <c r="I199" s="184">
        <v>0</v>
      </c>
      <c r="J199" s="177" t="b">
        <f>IF(ISBLANK(CertifiedCrop[[#This Row],[1. Identifiant interne d’exploitation agricole*]]),"",IF(ISERROR(MATCH(CertifiedCrop[[#This Row],[1. Identifiant interne d’exploitation agricole*]],GroupMember[1. Identifiant interne d’exploitation agricole*],0)),FALSE,TRUE))</f>
        <v>1</v>
      </c>
      <c r="K199" s="177" t="b">
        <f t="array" ref="K199">IF(ISBLANK(CertifiedCrop[[#This Row],[2. Produit agricole certifié*]]),"",IF(ISERROR(MATCH(1,(#REF!=CertifiedCrop[[#This Row],[2. Produit agricole certifié*]])*(#REF!=CertifiedCrop[[#This Row],[3. Variété**]]),0)),FALSE,TRUE))</f>
        <v>0</v>
      </c>
      <c r="L199" s="185" t="str">
        <f t="shared" si="15"/>
        <v/>
      </c>
      <c r="M199" s="186" t="str">
        <f t="shared" si="16"/>
        <v/>
      </c>
      <c r="N199" s="187" t="str">
        <f t="shared" si="17"/>
        <v/>
      </c>
      <c r="O199" s="188">
        <f t="shared" si="18"/>
        <v>548.98939883489129</v>
      </c>
      <c r="P199" s="188">
        <f t="shared" si="19"/>
        <v>620.57676370881245</v>
      </c>
      <c r="Q199" s="178" t="str">
        <f>IFERROR((VLOOKUP(A199,GM_Table,8,FALSE)-SUMIFS(D:D,A:A,A199,B:B,B199,C:C,C199)),"")</f>
        <v/>
      </c>
      <c r="R199" s="178" t="str">
        <f>IFERROR(CONCATENATE(VLOOKUP(A199,GM_Table,12,FALSE)," ",(VLOOKUP(A199,GM_Table,13,FALSE))),"")</f>
        <v/>
      </c>
      <c r="T199" s="203">
        <v>620.57676370881245</v>
      </c>
      <c r="U199" s="203">
        <v>0</v>
      </c>
      <c r="V199" s="204" t="s">
        <v>2597</v>
      </c>
      <c r="W199" s="203">
        <v>554.0863961685825</v>
      </c>
      <c r="X199" s="205">
        <v>-10.714285714285722</v>
      </c>
      <c r="Y199" s="204" t="s">
        <v>2597</v>
      </c>
      <c r="Z199" s="204" t="s">
        <v>2597</v>
      </c>
      <c r="AA199" s="204" t="s">
        <v>2597</v>
      </c>
      <c r="AB199" s="204" t="s">
        <v>2597</v>
      </c>
      <c r="AC199" s="204" t="s">
        <v>2597</v>
      </c>
    </row>
    <row r="200" spans="1:29" ht="15">
      <c r="A200" s="182" t="s">
        <v>1427</v>
      </c>
      <c r="B200" s="182" t="s">
        <v>1830</v>
      </c>
      <c r="C200" s="182"/>
      <c r="D200" s="183">
        <v>2.2233000000000001</v>
      </c>
      <c r="E200" s="183">
        <v>1222.5787253181306</v>
      </c>
      <c r="F200" s="183">
        <v>1380.2153888458604</v>
      </c>
      <c r="G200" s="184">
        <v>0</v>
      </c>
      <c r="H200" s="184">
        <v>0</v>
      </c>
      <c r="I200" s="184">
        <v>0</v>
      </c>
      <c r="J200" s="177" t="b">
        <f>IF(ISBLANK(CertifiedCrop[[#This Row],[1. Identifiant interne d’exploitation agricole*]]),"",IF(ISERROR(MATCH(CertifiedCrop[[#This Row],[1. Identifiant interne d’exploitation agricole*]],GroupMember[1. Identifiant interne d’exploitation agricole*],0)),FALSE,TRUE))</f>
        <v>1</v>
      </c>
      <c r="K200" s="177" t="b">
        <f t="array" ref="K200">IF(ISBLANK(CertifiedCrop[[#This Row],[2. Produit agricole certifié*]]),"",IF(ISERROR(MATCH(1,(#REF!=CertifiedCrop[[#This Row],[2. Produit agricole certifié*]])*(#REF!=CertifiedCrop[[#This Row],[3. Variété**]]),0)),FALSE,TRUE))</f>
        <v>0</v>
      </c>
      <c r="L200" s="185" t="str">
        <f t="shared" si="15"/>
        <v/>
      </c>
      <c r="M200" s="186" t="str">
        <f t="shared" si="16"/>
        <v/>
      </c>
      <c r="N200" s="187" t="str">
        <f t="shared" si="17"/>
        <v/>
      </c>
      <c r="O200" s="188">
        <f t="shared" si="18"/>
        <v>549.89372793511029</v>
      </c>
      <c r="P200" s="188">
        <f t="shared" si="19"/>
        <v>620.79583899872273</v>
      </c>
      <c r="Q200" s="178" t="str">
        <f>IFERROR((VLOOKUP(A200,GM_Table,8,FALSE)-SUMIFS(D:D,A:A,A200,B:B,B200,C:C,C200)),"")</f>
        <v/>
      </c>
      <c r="R200" s="178" t="str">
        <f>IFERROR(CONCATENATE(VLOOKUP(A200,GM_Table,12,FALSE)," ",(VLOOKUP(A200,GM_Table,13,FALSE))),"")</f>
        <v/>
      </c>
      <c r="T200" s="203">
        <v>620.79583899872273</v>
      </c>
      <c r="U200" s="203">
        <v>0</v>
      </c>
      <c r="V200" s="204" t="s">
        <v>2597</v>
      </c>
      <c r="W200" s="203">
        <v>554.28199910600244</v>
      </c>
      <c r="X200" s="205">
        <v>-10.714285714285712</v>
      </c>
      <c r="Y200" s="204" t="s">
        <v>2597</v>
      </c>
      <c r="Z200" s="204" t="s">
        <v>2597</v>
      </c>
      <c r="AA200" s="204" t="s">
        <v>2597</v>
      </c>
      <c r="AB200" s="204" t="s">
        <v>2597</v>
      </c>
      <c r="AC200" s="204" t="s">
        <v>2597</v>
      </c>
    </row>
    <row r="201" spans="1:29" ht="15">
      <c r="A201" s="182" t="s">
        <v>1431</v>
      </c>
      <c r="B201" s="182" t="s">
        <v>1830</v>
      </c>
      <c r="C201" s="182"/>
      <c r="D201" s="183">
        <v>1.0375000000000001</v>
      </c>
      <c r="E201" s="183">
        <v>571.83505442272701</v>
      </c>
      <c r="F201" s="183">
        <v>643.123647605364</v>
      </c>
      <c r="G201" s="184">
        <v>0</v>
      </c>
      <c r="H201" s="184">
        <v>0</v>
      </c>
      <c r="I201" s="184">
        <v>0</v>
      </c>
      <c r="J201" s="177" t="b">
        <f>IF(ISBLANK(CertifiedCrop[[#This Row],[1. Identifiant interne d’exploitation agricole*]]),"",IF(ISERROR(MATCH(CertifiedCrop[[#This Row],[1. Identifiant interne d’exploitation agricole*]],GroupMember[1. Identifiant interne d’exploitation agricole*],0)),FALSE,TRUE))</f>
        <v>1</v>
      </c>
      <c r="K201" s="177" t="b">
        <f t="array" ref="K201">IF(ISBLANK(CertifiedCrop[[#This Row],[2. Produit agricole certifié*]]),"",IF(ISERROR(MATCH(1,(#REF!=CertifiedCrop[[#This Row],[2. Produit agricole certifié*]])*(#REF!=CertifiedCrop[[#This Row],[3. Variété**]]),0)),FALSE,TRUE))</f>
        <v>0</v>
      </c>
      <c r="L201" s="185" t="str">
        <f t="shared" si="15"/>
        <v/>
      </c>
      <c r="M201" s="186" t="str">
        <f t="shared" si="16"/>
        <v/>
      </c>
      <c r="N201" s="187" t="str">
        <f t="shared" si="17"/>
        <v/>
      </c>
      <c r="O201" s="188">
        <f t="shared" si="18"/>
        <v>551.16631751588136</v>
      </c>
      <c r="P201" s="188">
        <f t="shared" si="19"/>
        <v>619.87821455938695</v>
      </c>
      <c r="Q201" s="178" t="str">
        <f>IFERROR((VLOOKUP(A201,GM_Table,8,FALSE)-SUMIFS(D:D,A:A,A201,B:B,B201,C:C,C201)),"")</f>
        <v/>
      </c>
      <c r="R201" s="178" t="str">
        <f>IFERROR(CONCATENATE(VLOOKUP(A201,GM_Table,12,FALSE)," ",(VLOOKUP(A201,GM_Table,13,FALSE))),"")</f>
        <v/>
      </c>
      <c r="T201" s="203">
        <v>619.87821455938695</v>
      </c>
      <c r="U201" s="203">
        <v>0</v>
      </c>
      <c r="V201" s="204" t="s">
        <v>2597</v>
      </c>
      <c r="W201" s="203">
        <v>553.46269157088125</v>
      </c>
      <c r="X201" s="205">
        <v>-10.714285714285706</v>
      </c>
      <c r="Y201" s="204" t="s">
        <v>2597</v>
      </c>
      <c r="Z201" s="204" t="s">
        <v>2597</v>
      </c>
      <c r="AA201" s="204" t="s">
        <v>2597</v>
      </c>
      <c r="AB201" s="204" t="s">
        <v>2597</v>
      </c>
      <c r="AC201" s="204" t="s">
        <v>2597</v>
      </c>
    </row>
    <row r="202" spans="1:29" ht="15">
      <c r="A202" s="182" t="s">
        <v>1436</v>
      </c>
      <c r="B202" s="182" t="s">
        <v>1830</v>
      </c>
      <c r="C202" s="182"/>
      <c r="D202" s="183">
        <v>2.8395999999999999</v>
      </c>
      <c r="E202" s="183">
        <v>1568.5863462656723</v>
      </c>
      <c r="F202" s="183">
        <v>1764.1661269459867</v>
      </c>
      <c r="G202" s="184">
        <v>0</v>
      </c>
      <c r="H202" s="184">
        <v>0</v>
      </c>
      <c r="I202" s="184">
        <v>0</v>
      </c>
      <c r="J202" s="177" t="b">
        <f>IF(ISBLANK(CertifiedCrop[[#This Row],[1. Identifiant interne d’exploitation agricole*]]),"",IF(ISERROR(MATCH(CertifiedCrop[[#This Row],[1. Identifiant interne d’exploitation agricole*]],GroupMember[1. Identifiant interne d’exploitation agricole*],0)),FALSE,TRUE))</f>
        <v>1</v>
      </c>
      <c r="K202" s="177" t="b">
        <f t="array" ref="K202">IF(ISBLANK(CertifiedCrop[[#This Row],[2. Produit agricole certifié*]]),"",IF(ISERROR(MATCH(1,(#REF!=CertifiedCrop[[#This Row],[2. Produit agricole certifié*]])*(#REF!=CertifiedCrop[[#This Row],[3. Variété**]]),0)),FALSE,TRUE))</f>
        <v>0</v>
      </c>
      <c r="L202" s="185" t="str">
        <f t="shared" si="15"/>
        <v/>
      </c>
      <c r="M202" s="186" t="str">
        <f t="shared" si="16"/>
        <v/>
      </c>
      <c r="N202" s="187" t="str">
        <f t="shared" si="17"/>
        <v/>
      </c>
      <c r="O202" s="188">
        <f t="shared" si="18"/>
        <v>552.39693839472898</v>
      </c>
      <c r="P202" s="188">
        <f t="shared" si="19"/>
        <v>621.272759172414</v>
      </c>
      <c r="Q202" s="178" t="str">
        <f>IFERROR((VLOOKUP(A202,GM_Table,8,FALSE)-SUMIFS(D:D,A:A,A202,B:B,B202,C:C,C202)),"")</f>
        <v/>
      </c>
      <c r="R202" s="178" t="str">
        <f>IFERROR(CONCATENATE(VLOOKUP(A202,GM_Table,12,FALSE)," ",(VLOOKUP(A202,GM_Table,13,FALSE))),"")</f>
        <v/>
      </c>
      <c r="T202" s="203">
        <v>621.272759172414</v>
      </c>
      <c r="U202" s="203">
        <v>0</v>
      </c>
      <c r="V202" s="204" t="s">
        <v>2597</v>
      </c>
      <c r="W202" s="203">
        <v>554.70782068965536</v>
      </c>
      <c r="X202" s="205">
        <v>-10.714285714285712</v>
      </c>
      <c r="Y202" s="204" t="s">
        <v>2597</v>
      </c>
      <c r="Z202" s="204" t="s">
        <v>2597</v>
      </c>
      <c r="AA202" s="204" t="s">
        <v>2597</v>
      </c>
      <c r="AB202" s="204" t="s">
        <v>2597</v>
      </c>
      <c r="AC202" s="204" t="s">
        <v>2597</v>
      </c>
    </row>
    <row r="203" spans="1:29" ht="15">
      <c r="A203" s="182" t="s">
        <v>1440</v>
      </c>
      <c r="B203" s="182" t="s">
        <v>1830</v>
      </c>
      <c r="C203" s="182"/>
      <c r="D203" s="183">
        <v>0.45979999999999999</v>
      </c>
      <c r="E203" s="183">
        <v>254.23845641714405</v>
      </c>
      <c r="F203" s="183">
        <v>249.23309375090267</v>
      </c>
      <c r="G203" s="184">
        <v>0</v>
      </c>
      <c r="H203" s="184">
        <v>0</v>
      </c>
      <c r="I203" s="184">
        <v>0</v>
      </c>
      <c r="J203" s="177" t="b">
        <f>IF(ISBLANK(CertifiedCrop[[#This Row],[1. Identifiant interne d’exploitation agricole*]]),"",IF(ISERROR(MATCH(CertifiedCrop[[#This Row],[1. Identifiant interne d’exploitation agricole*]],GroupMember[1. Identifiant interne d’exploitation agricole*],0)),FALSE,TRUE))</f>
        <v>1</v>
      </c>
      <c r="K203" s="177" t="b">
        <f t="array" ref="K203">IF(ISBLANK(CertifiedCrop[[#This Row],[2. Produit agricole certifié*]]),"",IF(ISERROR(MATCH(1,(#REF!=CertifiedCrop[[#This Row],[2. Produit agricole certifié*]])*(#REF!=CertifiedCrop[[#This Row],[3. Variété**]]),0)),FALSE,TRUE))</f>
        <v>0</v>
      </c>
      <c r="L203" s="185" t="str">
        <f t="shared" si="15"/>
        <v/>
      </c>
      <c r="M203" s="186" t="str">
        <f t="shared" si="16"/>
        <v/>
      </c>
      <c r="N203" s="187" t="str">
        <f t="shared" si="17"/>
        <v/>
      </c>
      <c r="O203" s="188">
        <f t="shared" si="18"/>
        <v>552.93270208165302</v>
      </c>
      <c r="P203" s="188">
        <f t="shared" si="19"/>
        <v>542.04674586973181</v>
      </c>
      <c r="Q203" s="178" t="str">
        <f>IFERROR((VLOOKUP(A203,GM_Table,8,FALSE)-SUMIFS(D:D,A:A,A203,B:B,B203,C:C,C203)),"")</f>
        <v/>
      </c>
      <c r="R203" s="178" t="str">
        <f>IFERROR(CONCATENATE(VLOOKUP(A203,GM_Table,12,FALSE)," ",(VLOOKUP(A203,GM_Table,13,FALSE))),"")</f>
        <v/>
      </c>
      <c r="T203" s="203">
        <v>542.04674586973181</v>
      </c>
      <c r="U203" s="203">
        <v>0</v>
      </c>
      <c r="V203" s="204" t="s">
        <v>2597</v>
      </c>
      <c r="W203" s="203">
        <v>483.97030881226055</v>
      </c>
      <c r="X203" s="205">
        <v>-10.714285714285712</v>
      </c>
      <c r="Y203" s="204" t="s">
        <v>2597</v>
      </c>
      <c r="Z203" s="204" t="s">
        <v>2597</v>
      </c>
      <c r="AA203" s="204" t="s">
        <v>2597</v>
      </c>
      <c r="AB203" s="204" t="s">
        <v>2597</v>
      </c>
      <c r="AC203" s="204" t="s">
        <v>2597</v>
      </c>
    </row>
    <row r="204" spans="1:29" ht="15">
      <c r="A204" s="182" t="s">
        <v>1445</v>
      </c>
      <c r="B204" s="182" t="s">
        <v>1830</v>
      </c>
      <c r="C204" s="182"/>
      <c r="D204" s="183">
        <v>6.6486000000000001</v>
      </c>
      <c r="E204" s="183">
        <v>3680.3534237201975</v>
      </c>
      <c r="F204" s="183">
        <v>4006.8312972633457</v>
      </c>
      <c r="G204" s="184">
        <v>0</v>
      </c>
      <c r="H204" s="184">
        <v>0</v>
      </c>
      <c r="I204" s="184">
        <v>0</v>
      </c>
      <c r="J204" s="177" t="b">
        <f>IF(ISBLANK(CertifiedCrop[[#This Row],[1. Identifiant interne d’exploitation agricole*]]),"",IF(ISERROR(MATCH(CertifiedCrop[[#This Row],[1. Identifiant interne d’exploitation agricole*]],GroupMember[1. Identifiant interne d’exploitation agricole*],0)),FALSE,TRUE))</f>
        <v>1</v>
      </c>
      <c r="K204" s="177" t="b">
        <f t="array" ref="K204">IF(ISBLANK(CertifiedCrop[[#This Row],[2. Produit agricole certifié*]]),"",IF(ISERROR(MATCH(1,(#REF!=CertifiedCrop[[#This Row],[2. Produit agricole certifié*]])*(#REF!=CertifiedCrop[[#This Row],[3. Variété**]]),0)),FALSE,TRUE))</f>
        <v>0</v>
      </c>
      <c r="L204" s="185" t="str">
        <f t="shared" si="15"/>
        <v/>
      </c>
      <c r="M204" s="186" t="str">
        <f t="shared" si="16"/>
        <v/>
      </c>
      <c r="N204" s="187" t="str">
        <f t="shared" si="17"/>
        <v/>
      </c>
      <c r="O204" s="188">
        <f t="shared" si="18"/>
        <v>553.55314257440625</v>
      </c>
      <c r="P204" s="188">
        <f t="shared" si="19"/>
        <v>602.65789749170438</v>
      </c>
      <c r="Q204" s="178" t="str">
        <f>IFERROR((VLOOKUP(A204,GM_Table,8,FALSE)-SUMIFS(D:D,A:A,A204,B:B,B204,C:C,C204)),"")</f>
        <v/>
      </c>
      <c r="R204" s="178" t="str">
        <f>IFERROR(CONCATENATE(VLOOKUP(A204,GM_Table,12,FALSE)," ",(VLOOKUP(A204,GM_Table,13,FALSE))),"")</f>
        <v/>
      </c>
      <c r="T204" s="203">
        <v>602.65789749170438</v>
      </c>
      <c r="U204" s="203">
        <v>0</v>
      </c>
      <c r="V204" s="204" t="s">
        <v>2597</v>
      </c>
      <c r="W204" s="203">
        <v>538.08740847473609</v>
      </c>
      <c r="X204" s="205">
        <v>-10.714285714285706</v>
      </c>
      <c r="Y204" s="204" t="s">
        <v>2597</v>
      </c>
      <c r="Z204" s="204" t="s">
        <v>2597</v>
      </c>
      <c r="AA204" s="204" t="s">
        <v>2597</v>
      </c>
      <c r="AB204" s="204" t="s">
        <v>2597</v>
      </c>
      <c r="AC204" s="204" t="s">
        <v>2597</v>
      </c>
    </row>
    <row r="205" spans="1:29" ht="15">
      <c r="A205" s="182" t="s">
        <v>1449</v>
      </c>
      <c r="B205" s="182" t="s">
        <v>1830</v>
      </c>
      <c r="C205" s="182"/>
      <c r="D205" s="183">
        <v>0.56269999999999998</v>
      </c>
      <c r="E205" s="183">
        <v>311.90348030097391</v>
      </c>
      <c r="F205" s="183">
        <v>305.05451089557698</v>
      </c>
      <c r="G205" s="184">
        <v>0</v>
      </c>
      <c r="H205" s="184">
        <v>0</v>
      </c>
      <c r="I205" s="184">
        <v>0</v>
      </c>
      <c r="J205" s="177" t="b">
        <f>IF(ISBLANK(CertifiedCrop[[#This Row],[1. Identifiant interne d’exploitation agricole*]]),"",IF(ISERROR(MATCH(CertifiedCrop[[#This Row],[1. Identifiant interne d’exploitation agricole*]],GroupMember[1. Identifiant interne d’exploitation agricole*],0)),FALSE,TRUE))</f>
        <v>1</v>
      </c>
      <c r="K205" s="177" t="b">
        <f t="array" ref="K205">IF(ISBLANK(CertifiedCrop[[#This Row],[2. Produit agricole certifié*]]),"",IF(ISERROR(MATCH(1,(#REF!=CertifiedCrop[[#This Row],[2. Produit agricole certifié*]])*(#REF!=CertifiedCrop[[#This Row],[3. Variété**]]),0)),FALSE,TRUE))</f>
        <v>0</v>
      </c>
      <c r="L205" s="185" t="str">
        <f t="shared" si="15"/>
        <v/>
      </c>
      <c r="M205" s="186" t="str">
        <f t="shared" si="16"/>
        <v/>
      </c>
      <c r="N205" s="187" t="str">
        <f t="shared" si="17"/>
        <v/>
      </c>
      <c r="O205" s="188">
        <f t="shared" si="18"/>
        <v>554.29799236000338</v>
      </c>
      <c r="P205" s="188">
        <f t="shared" si="19"/>
        <v>542.12637443678159</v>
      </c>
      <c r="Q205" s="178" t="str">
        <f>IFERROR((VLOOKUP(A205,GM_Table,8,FALSE)-SUMIFS(D:D,A:A,A205,B:B,B205,C:C,C205)),"")</f>
        <v/>
      </c>
      <c r="R205" s="178" t="str">
        <f>IFERROR(CONCATENATE(VLOOKUP(A205,GM_Table,12,FALSE)," ",(VLOOKUP(A205,GM_Table,13,FALSE))),"")</f>
        <v/>
      </c>
      <c r="T205" s="203">
        <v>542.12637443678159</v>
      </c>
      <c r="U205" s="203">
        <v>0</v>
      </c>
      <c r="V205" s="204" t="s">
        <v>2597</v>
      </c>
      <c r="W205" s="203">
        <v>484.04140574712642</v>
      </c>
      <c r="X205" s="205">
        <v>-10.714285714285714</v>
      </c>
      <c r="Y205" s="204" t="s">
        <v>2597</v>
      </c>
      <c r="Z205" s="204" t="s">
        <v>2597</v>
      </c>
      <c r="AA205" s="204" t="s">
        <v>2597</v>
      </c>
      <c r="AB205" s="204" t="s">
        <v>2597</v>
      </c>
      <c r="AC205" s="204" t="s">
        <v>2597</v>
      </c>
    </row>
    <row r="206" spans="1:29" ht="15">
      <c r="A206" s="182" t="s">
        <v>1452</v>
      </c>
      <c r="B206" s="182" t="s">
        <v>1830</v>
      </c>
      <c r="C206" s="182"/>
      <c r="D206" s="183">
        <v>1.1949000000000001</v>
      </c>
      <c r="E206" s="183">
        <v>663.42012553354448</v>
      </c>
      <c r="F206" s="183">
        <v>740.83802107174859</v>
      </c>
      <c r="G206" s="184">
        <v>0</v>
      </c>
      <c r="H206" s="184">
        <v>0</v>
      </c>
      <c r="I206" s="184">
        <v>0</v>
      </c>
      <c r="J206" s="177" t="b">
        <f>IF(ISBLANK(CertifiedCrop[[#This Row],[1. Identifiant interne d’exploitation agricole*]]),"",IF(ISERROR(MATCH(CertifiedCrop[[#This Row],[1. Identifiant interne d’exploitation agricole*]],GroupMember[1. Identifiant interne d’exploitation agricole*],0)),FALSE,TRUE))</f>
        <v>1</v>
      </c>
      <c r="K206" s="177" t="b">
        <f t="array" ref="K206">IF(ISBLANK(CertifiedCrop[[#This Row],[2. Produit agricole certifié*]]),"",IF(ISERROR(MATCH(1,(#REF!=CertifiedCrop[[#This Row],[2. Produit agricole certifié*]])*(#REF!=CertifiedCrop[[#This Row],[3. Variété**]]),0)),FALSE,TRUE))</f>
        <v>0</v>
      </c>
      <c r="L206" s="185" t="str">
        <f t="shared" si="15"/>
        <v/>
      </c>
      <c r="M206" s="186" t="str">
        <f t="shared" si="16"/>
        <v/>
      </c>
      <c r="N206" s="187" t="str">
        <f t="shared" si="17"/>
        <v/>
      </c>
      <c r="O206" s="188">
        <f t="shared" si="18"/>
        <v>555.20974603192269</v>
      </c>
      <c r="P206" s="188">
        <f t="shared" si="19"/>
        <v>620.00001763473813</v>
      </c>
      <c r="Q206" s="178" t="str">
        <f>IFERROR((VLOOKUP(A206,GM_Table,8,FALSE)-SUMIFS(D:D,A:A,A206,B:B,B206,C:C,C206)),"")</f>
        <v/>
      </c>
      <c r="R206" s="178" t="str">
        <f>IFERROR(CONCATENATE(VLOOKUP(A206,GM_Table,12,FALSE)," ",(VLOOKUP(A206,GM_Table,13,FALSE))),"")</f>
        <v/>
      </c>
      <c r="T206" s="203">
        <v>620.00001763473813</v>
      </c>
      <c r="U206" s="203">
        <v>0</v>
      </c>
      <c r="V206" s="204" t="s">
        <v>2597</v>
      </c>
      <c r="W206" s="203">
        <v>553.57144431673044</v>
      </c>
      <c r="X206" s="205">
        <v>-10.714285714285721</v>
      </c>
      <c r="Y206" s="204" t="s">
        <v>2597</v>
      </c>
      <c r="Z206" s="204" t="s">
        <v>2597</v>
      </c>
      <c r="AA206" s="204" t="s">
        <v>2597</v>
      </c>
      <c r="AB206" s="204" t="s">
        <v>2597</v>
      </c>
      <c r="AC206" s="204" t="s">
        <v>2597</v>
      </c>
    </row>
    <row r="207" spans="1:29" ht="15">
      <c r="A207" s="182" t="s">
        <v>1457</v>
      </c>
      <c r="B207" s="182" t="s">
        <v>1830</v>
      </c>
      <c r="C207" s="182"/>
      <c r="D207" s="183">
        <v>0.78390000000000004</v>
      </c>
      <c r="E207" s="183">
        <v>435.83094136060572</v>
      </c>
      <c r="F207" s="183">
        <v>425.10704848189442</v>
      </c>
      <c r="G207" s="184">
        <v>0</v>
      </c>
      <c r="H207" s="184">
        <v>0</v>
      </c>
      <c r="I207" s="184">
        <v>0</v>
      </c>
      <c r="J207" s="177" t="b">
        <f>IF(ISBLANK(CertifiedCrop[[#This Row],[1. Identifiant interne d’exploitation agricole*]]),"",IF(ISERROR(MATCH(CertifiedCrop[[#This Row],[1. Identifiant interne d’exploitation agricole*]],GroupMember[1. Identifiant interne d’exploitation agricole*],0)),FALSE,TRUE))</f>
        <v>1</v>
      </c>
      <c r="K207" s="177" t="b">
        <f t="array" ref="K207">IF(ISBLANK(CertifiedCrop[[#This Row],[2. Produit agricole certifié*]]),"",IF(ISERROR(MATCH(1,(#REF!=CertifiedCrop[[#This Row],[2. Produit agricole certifié*]])*(#REF!=CertifiedCrop[[#This Row],[3. Variété**]]),0)),FALSE,TRUE))</f>
        <v>0</v>
      </c>
      <c r="L207" s="185" t="str">
        <f t="shared" si="15"/>
        <v/>
      </c>
      <c r="M207" s="186" t="str">
        <f t="shared" si="16"/>
        <v/>
      </c>
      <c r="N207" s="187" t="str">
        <f t="shared" si="17"/>
        <v/>
      </c>
      <c r="O207" s="188">
        <f t="shared" si="18"/>
        <v>555.97772848654893</v>
      </c>
      <c r="P207" s="188">
        <f t="shared" si="19"/>
        <v>542.29754877139226</v>
      </c>
      <c r="Q207" s="178" t="str">
        <f>IFERROR((VLOOKUP(A207,GM_Table,8,FALSE)-SUMIFS(D:D,A:A,A207,B:B,B207,C:C,C207)),"")</f>
        <v/>
      </c>
      <c r="R207" s="178" t="str">
        <f>IFERROR(CONCATENATE(VLOOKUP(A207,GM_Table,12,FALSE)," ",(VLOOKUP(A207,GM_Table,13,FALSE))),"")</f>
        <v/>
      </c>
      <c r="T207" s="203">
        <v>542.29754877139226</v>
      </c>
      <c r="U207" s="203">
        <v>0</v>
      </c>
      <c r="V207" s="204" t="s">
        <v>2597</v>
      </c>
      <c r="W207" s="203">
        <v>484.19423997445733</v>
      </c>
      <c r="X207" s="205">
        <v>-10.714285714285722</v>
      </c>
      <c r="Y207" s="204" t="s">
        <v>2597</v>
      </c>
      <c r="Z207" s="204" t="s">
        <v>2597</v>
      </c>
      <c r="AA207" s="204" t="s">
        <v>2597</v>
      </c>
      <c r="AB207" s="204" t="s">
        <v>2597</v>
      </c>
      <c r="AC207" s="204" t="s">
        <v>2597</v>
      </c>
    </row>
    <row r="208" spans="1:29" ht="15">
      <c r="A208" s="182" t="s">
        <v>1461</v>
      </c>
      <c r="B208" s="182" t="s">
        <v>1830</v>
      </c>
      <c r="C208" s="182"/>
      <c r="D208" s="183">
        <v>0.75670000000000004</v>
      </c>
      <c r="E208" s="183">
        <v>421.27546213434016</v>
      </c>
      <c r="F208" s="183">
        <v>410.34062770849152</v>
      </c>
      <c r="G208" s="184">
        <v>0</v>
      </c>
      <c r="H208" s="184">
        <v>0</v>
      </c>
      <c r="I208" s="184">
        <v>0</v>
      </c>
      <c r="J208" s="177" t="b">
        <f>IF(ISBLANK(CertifiedCrop[[#This Row],[1. Identifiant interne d’exploitation agricole*]]),"",IF(ISERROR(MATCH(CertifiedCrop[[#This Row],[1. Identifiant interne d’exploitation agricole*]],GroupMember[1. Identifiant interne d’exploitation agricole*],0)),FALSE,TRUE))</f>
        <v>1</v>
      </c>
      <c r="K208" s="177" t="b">
        <f t="array" ref="K208">IF(ISBLANK(CertifiedCrop[[#This Row],[2. Produit agricole certifié*]]),"",IF(ISERROR(MATCH(1,(#REF!=CertifiedCrop[[#This Row],[2. Produit agricole certifié*]])*(#REF!=CertifiedCrop[[#This Row],[3. Variété**]]),0)),FALSE,TRUE))</f>
        <v>0</v>
      </c>
      <c r="L208" s="185" t="str">
        <f t="shared" si="15"/>
        <v/>
      </c>
      <c r="M208" s="186" t="str">
        <f t="shared" si="16"/>
        <v/>
      </c>
      <c r="N208" s="187" t="str">
        <f t="shared" si="17"/>
        <v/>
      </c>
      <c r="O208" s="188">
        <f t="shared" si="18"/>
        <v>556.72718664509068</v>
      </c>
      <c r="P208" s="188">
        <f t="shared" si="19"/>
        <v>542.27650020945089</v>
      </c>
      <c r="Q208" s="178" t="str">
        <f>IFERROR((VLOOKUP(A208,GM_Table,8,FALSE)-SUMIFS(D:D,A:A,A208,B:B,B208,C:C,C208)),"")</f>
        <v/>
      </c>
      <c r="R208" s="178" t="str">
        <f>IFERROR(CONCATENATE(VLOOKUP(A208,GM_Table,12,FALSE)," ",(VLOOKUP(A208,GM_Table,13,FALSE))),"")</f>
        <v/>
      </c>
      <c r="T208" s="203">
        <v>542.27650020945089</v>
      </c>
      <c r="U208" s="203">
        <v>0</v>
      </c>
      <c r="V208" s="204" t="s">
        <v>2597</v>
      </c>
      <c r="W208" s="203">
        <v>484.17544661558117</v>
      </c>
      <c r="X208" s="205">
        <v>-10.714285714285712</v>
      </c>
      <c r="Y208" s="204" t="s">
        <v>2597</v>
      </c>
      <c r="Z208" s="204" t="s">
        <v>2597</v>
      </c>
      <c r="AA208" s="204" t="s">
        <v>2597</v>
      </c>
      <c r="AB208" s="204" t="s">
        <v>2597</v>
      </c>
      <c r="AC208" s="204" t="s">
        <v>2597</v>
      </c>
    </row>
    <row r="209" spans="1:29" ht="15">
      <c r="A209" s="182" t="s">
        <v>1465</v>
      </c>
      <c r="B209" s="182" t="s">
        <v>1830</v>
      </c>
      <c r="C209" s="182"/>
      <c r="D209" s="183">
        <v>1.5925</v>
      </c>
      <c r="E209" s="183">
        <v>886.90726287558414</v>
      </c>
      <c r="F209" s="183">
        <v>987.84000919923369</v>
      </c>
      <c r="G209" s="184">
        <v>0</v>
      </c>
      <c r="H209" s="184">
        <v>0</v>
      </c>
      <c r="I209" s="184">
        <v>0</v>
      </c>
      <c r="J209" s="177" t="b">
        <f>IF(ISBLANK(CertifiedCrop[[#This Row],[1. Identifiant interne d’exploitation agricole*]]),"",IF(ISERROR(MATCH(CertifiedCrop[[#This Row],[1. Identifiant interne d’exploitation agricole*]],GroupMember[1. Identifiant interne d’exploitation agricole*],0)),FALSE,TRUE))</f>
        <v>1</v>
      </c>
      <c r="K209" s="177" t="b">
        <f t="array" ref="K209">IF(ISBLANK(CertifiedCrop[[#This Row],[2. Produit agricole certifié*]]),"",IF(ISERROR(MATCH(1,(#REF!=CertifiedCrop[[#This Row],[2. Produit agricole certifié*]])*(#REF!=CertifiedCrop[[#This Row],[3. Variété**]]),0)),FALSE,TRUE))</f>
        <v>0</v>
      </c>
      <c r="L209" s="185" t="str">
        <f t="shared" si="15"/>
        <v/>
      </c>
      <c r="M209" s="186" t="str">
        <f t="shared" si="16"/>
        <v/>
      </c>
      <c r="N209" s="187" t="str">
        <f t="shared" si="17"/>
        <v/>
      </c>
      <c r="O209" s="188">
        <f t="shared" si="18"/>
        <v>556.92763759848299</v>
      </c>
      <c r="P209" s="188">
        <f t="shared" si="19"/>
        <v>620.30769808429113</v>
      </c>
      <c r="Q209" s="178" t="str">
        <f>IFERROR((VLOOKUP(A209,GM_Table,8,FALSE)-SUMIFS(D:D,A:A,A209,B:B,B209,C:C,C209)),"")</f>
        <v/>
      </c>
      <c r="R209" s="178" t="str">
        <f>IFERROR(CONCATENATE(VLOOKUP(A209,GM_Table,12,FALSE)," ",(VLOOKUP(A209,GM_Table,13,FALSE))),"")</f>
        <v/>
      </c>
      <c r="T209" s="203">
        <v>620.30769808429113</v>
      </c>
      <c r="U209" s="203">
        <v>0</v>
      </c>
      <c r="V209" s="204" t="s">
        <v>2597</v>
      </c>
      <c r="W209" s="203">
        <v>553.84615900383142</v>
      </c>
      <c r="X209" s="205">
        <v>-10.714285714285706</v>
      </c>
      <c r="Y209" s="204" t="s">
        <v>2597</v>
      </c>
      <c r="Z209" s="204" t="s">
        <v>2597</v>
      </c>
      <c r="AA209" s="204" t="s">
        <v>2597</v>
      </c>
      <c r="AB209" s="204" t="s">
        <v>2597</v>
      </c>
      <c r="AC209" s="204" t="s">
        <v>2597</v>
      </c>
    </row>
    <row r="210" spans="1:29" ht="15">
      <c r="A210" s="182" t="s">
        <v>1469</v>
      </c>
      <c r="B210" s="182" t="s">
        <v>1830</v>
      </c>
      <c r="C210" s="182"/>
      <c r="D210" s="183">
        <v>1.2756000000000001</v>
      </c>
      <c r="E210" s="183">
        <v>711.49362932932024</v>
      </c>
      <c r="F210" s="183">
        <v>790.95168272762623</v>
      </c>
      <c r="G210" s="184">
        <v>0</v>
      </c>
      <c r="H210" s="184">
        <v>0</v>
      </c>
      <c r="I210" s="184">
        <v>0</v>
      </c>
      <c r="J210" s="177" t="b">
        <f>IF(ISBLANK(CertifiedCrop[[#This Row],[1. Identifiant interne d’exploitation agricole*]]),"",IF(ISERROR(MATCH(CertifiedCrop[[#This Row],[1. Identifiant interne d’exploitation agricole*]],GroupMember[1. Identifiant interne d’exploitation agricole*],0)),FALSE,TRUE))</f>
        <v>1</v>
      </c>
      <c r="K210" s="177" t="b">
        <f t="array" ref="K210">IF(ISBLANK(CertifiedCrop[[#This Row],[2. Produit agricole certifié*]]),"",IF(ISERROR(MATCH(1,(#REF!=CertifiedCrop[[#This Row],[2. Produit agricole certifié*]])*(#REF!=CertifiedCrop[[#This Row],[3. Variété**]]),0)),FALSE,TRUE))</f>
        <v>0</v>
      </c>
      <c r="L210" s="185" t="str">
        <f t="shared" si="15"/>
        <v/>
      </c>
      <c r="M210" s="186" t="str">
        <f t="shared" si="16"/>
        <v/>
      </c>
      <c r="N210" s="187" t="str">
        <f t="shared" si="17"/>
        <v/>
      </c>
      <c r="O210" s="188">
        <f t="shared" si="18"/>
        <v>557.77173826381329</v>
      </c>
      <c r="P210" s="188">
        <f t="shared" si="19"/>
        <v>620.06246686079191</v>
      </c>
      <c r="Q210" s="178" t="str">
        <f>IFERROR((VLOOKUP(A210,GM_Table,8,FALSE)-SUMIFS(D:D,A:A,A210,B:B,B210,C:C,C210)),"")</f>
        <v/>
      </c>
      <c r="R210" s="178" t="str">
        <f>IFERROR(CONCATENATE(VLOOKUP(A210,GM_Table,12,FALSE)," ",(VLOOKUP(A210,GM_Table,13,FALSE))),"")</f>
        <v/>
      </c>
      <c r="T210" s="203">
        <v>620.06246686079191</v>
      </c>
      <c r="U210" s="203">
        <v>0</v>
      </c>
      <c r="V210" s="204" t="s">
        <v>2597</v>
      </c>
      <c r="W210" s="203">
        <v>553.62720255427848</v>
      </c>
      <c r="X210" s="205">
        <v>-10.714285714285717</v>
      </c>
      <c r="Y210" s="204" t="s">
        <v>2597</v>
      </c>
      <c r="Z210" s="204" t="s">
        <v>2597</v>
      </c>
      <c r="AA210" s="204" t="s">
        <v>2597</v>
      </c>
      <c r="AB210" s="204" t="s">
        <v>2597</v>
      </c>
      <c r="AC210" s="204" t="s">
        <v>2597</v>
      </c>
    </row>
    <row r="211" spans="1:29" ht="15">
      <c r="A211" s="182" t="s">
        <v>1473</v>
      </c>
      <c r="B211" s="182" t="s">
        <v>1830</v>
      </c>
      <c r="C211" s="182"/>
      <c r="D211" s="183">
        <v>0.95499999999999996</v>
      </c>
      <c r="E211" s="183">
        <v>533.09188258609436</v>
      </c>
      <c r="F211" s="183">
        <v>591.92272565517237</v>
      </c>
      <c r="G211" s="184">
        <v>0</v>
      </c>
      <c r="H211" s="184">
        <v>0</v>
      </c>
      <c r="I211" s="184">
        <v>0</v>
      </c>
      <c r="J211" s="177" t="b">
        <f>IF(ISBLANK(CertifiedCrop[[#This Row],[1. Identifiant interne d’exploitation agricole*]]),"",IF(ISERROR(MATCH(CertifiedCrop[[#This Row],[1. Identifiant interne d’exploitation agricole*]],GroupMember[1. Identifiant interne d’exploitation agricole*],0)),FALSE,TRUE))</f>
        <v>1</v>
      </c>
      <c r="K211" s="177" t="b">
        <f t="array" ref="K211">IF(ISBLANK(CertifiedCrop[[#This Row],[2. Produit agricole certifié*]]),"",IF(ISERROR(MATCH(1,(#REF!=CertifiedCrop[[#This Row],[2. Produit agricole certifié*]])*(#REF!=CertifiedCrop[[#This Row],[3. Variété**]]),0)),FALSE,TRUE))</f>
        <v>0</v>
      </c>
      <c r="L211" s="185" t="str">
        <f t="shared" si="15"/>
        <v/>
      </c>
      <c r="M211" s="186" t="str">
        <f t="shared" si="16"/>
        <v/>
      </c>
      <c r="N211" s="187" t="str">
        <f t="shared" si="17"/>
        <v/>
      </c>
      <c r="O211" s="188">
        <f t="shared" si="18"/>
        <v>558.21139537810927</v>
      </c>
      <c r="P211" s="188">
        <f t="shared" si="19"/>
        <v>619.81437241379308</v>
      </c>
      <c r="Q211" s="178" t="str">
        <f>IFERROR((VLOOKUP(A211,GM_Table,8,FALSE)-SUMIFS(D:D,A:A,A211,B:B,B211,C:C,C211)),"")</f>
        <v/>
      </c>
      <c r="R211" s="178" t="str">
        <f>IFERROR(CONCATENATE(VLOOKUP(A211,GM_Table,12,FALSE)," ",(VLOOKUP(A211,GM_Table,13,FALSE))),"")</f>
        <v/>
      </c>
      <c r="T211" s="203">
        <v>619.81437241379308</v>
      </c>
      <c r="U211" s="203">
        <v>0</v>
      </c>
      <c r="V211" s="204" t="s">
        <v>2597</v>
      </c>
      <c r="W211" s="203">
        <v>553.40568965517241</v>
      </c>
      <c r="X211" s="205">
        <v>-10.714285714285712</v>
      </c>
      <c r="Y211" s="204" t="s">
        <v>2597</v>
      </c>
      <c r="Z211" s="204" t="s">
        <v>2597</v>
      </c>
      <c r="AA211" s="204" t="s">
        <v>2597</v>
      </c>
      <c r="AB211" s="204" t="s">
        <v>2597</v>
      </c>
      <c r="AC211" s="204" t="s">
        <v>2597</v>
      </c>
    </row>
    <row r="212" spans="1:29" ht="15">
      <c r="A212" s="182" t="s">
        <v>1478</v>
      </c>
      <c r="B212" s="182" t="s">
        <v>1830</v>
      </c>
      <c r="C212" s="182"/>
      <c r="D212" s="183">
        <v>1.4810000000000001</v>
      </c>
      <c r="E212" s="183">
        <v>827.38957045678364</v>
      </c>
      <c r="F212" s="183">
        <v>918.54791481113682</v>
      </c>
      <c r="G212" s="184">
        <v>0</v>
      </c>
      <c r="H212" s="184">
        <v>0</v>
      </c>
      <c r="I212" s="184">
        <v>0</v>
      </c>
      <c r="J212" s="177" t="b">
        <f>IF(ISBLANK(CertifiedCrop[[#This Row],[1. Identifiant interne d’exploitation agricole*]]),"",IF(ISERROR(MATCH(CertifiedCrop[[#This Row],[1. Identifiant interne d’exploitation agricole*]],GroupMember[1. Identifiant interne d’exploitation agricole*],0)),FALSE,TRUE))</f>
        <v>1</v>
      </c>
      <c r="K212" s="177" t="b">
        <f t="array" ref="K212">IF(ISBLANK(CertifiedCrop[[#This Row],[2. Produit agricole certifié*]]),"",IF(ISERROR(MATCH(1,(#REF!=CertifiedCrop[[#This Row],[2. Produit agricole certifié*]])*(#REF!=CertifiedCrop[[#This Row],[3. Variété**]]),0)),FALSE,TRUE))</f>
        <v>0</v>
      </c>
      <c r="L212" s="185" t="str">
        <f t="shared" si="15"/>
        <v/>
      </c>
      <c r="M212" s="186" t="str">
        <f t="shared" si="16"/>
        <v/>
      </c>
      <c r="N212" s="187" t="str">
        <f t="shared" si="17"/>
        <v/>
      </c>
      <c r="O212" s="188">
        <f t="shared" si="18"/>
        <v>558.66952765481676</v>
      </c>
      <c r="P212" s="188">
        <f t="shared" si="19"/>
        <v>620.22141445721593</v>
      </c>
      <c r="Q212" s="178" t="str">
        <f>IFERROR((VLOOKUP(A212,GM_Table,8,FALSE)-SUMIFS(D:D,A:A,A212,B:B,B212,C:C,C212)),"")</f>
        <v/>
      </c>
      <c r="R212" s="178" t="str">
        <f>IFERROR(CONCATENATE(VLOOKUP(A212,GM_Table,12,FALSE)," ",(VLOOKUP(A212,GM_Table,13,FALSE))),"")</f>
        <v/>
      </c>
      <c r="T212" s="203">
        <v>620.22141445721593</v>
      </c>
      <c r="U212" s="203">
        <v>0</v>
      </c>
      <c r="V212" s="204" t="s">
        <v>2597</v>
      </c>
      <c r="W212" s="203">
        <v>553.76912005108568</v>
      </c>
      <c r="X212" s="205">
        <v>-10.71428571428571</v>
      </c>
      <c r="Y212" s="204" t="s">
        <v>2597</v>
      </c>
      <c r="Z212" s="204" t="s">
        <v>2597</v>
      </c>
      <c r="AA212" s="204" t="s">
        <v>2597</v>
      </c>
      <c r="AB212" s="204" t="s">
        <v>2597</v>
      </c>
      <c r="AC212" s="204" t="s">
        <v>2597</v>
      </c>
    </row>
    <row r="213" spans="1:29" ht="15">
      <c r="A213" s="182" t="s">
        <v>1483</v>
      </c>
      <c r="B213" s="182" t="s">
        <v>1830</v>
      </c>
      <c r="C213" s="182"/>
      <c r="D213" s="183">
        <v>0.92920000000000003</v>
      </c>
      <c r="E213" s="183">
        <v>519.46946988362276</v>
      </c>
      <c r="F213" s="183">
        <v>504.00736115814664</v>
      </c>
      <c r="G213" s="184">
        <v>0</v>
      </c>
      <c r="H213" s="184">
        <v>0</v>
      </c>
      <c r="I213" s="184">
        <v>0</v>
      </c>
      <c r="J213" s="177" t="b">
        <f>IF(ISBLANK(CertifiedCrop[[#This Row],[1. Identifiant interne d’exploitation agricole*]]),"",IF(ISERROR(MATCH(CertifiedCrop[[#This Row],[1. Identifiant interne d’exploitation agricole*]],GroupMember[1. Identifiant interne d’exploitation agricole*],0)),FALSE,TRUE))</f>
        <v>1</v>
      </c>
      <c r="K213" s="177" t="b">
        <f t="array" ref="K213">IF(ISBLANK(CertifiedCrop[[#This Row],[2. Produit agricole certifié*]]),"",IF(ISERROR(MATCH(1,(#REF!=CertifiedCrop[[#This Row],[2. Produit agricole certifié*]])*(#REF!=CertifiedCrop[[#This Row],[3. Variété**]]),0)),FALSE,TRUE))</f>
        <v>0</v>
      </c>
      <c r="L213" s="185" t="str">
        <f t="shared" si="15"/>
        <v/>
      </c>
      <c r="M213" s="186" t="str">
        <f t="shared" si="16"/>
        <v/>
      </c>
      <c r="N213" s="187" t="str">
        <f t="shared" si="17"/>
        <v/>
      </c>
      <c r="O213" s="188">
        <f t="shared" si="18"/>
        <v>559.05022587561643</v>
      </c>
      <c r="P213" s="188">
        <f t="shared" si="19"/>
        <v>542.40998833205617</v>
      </c>
      <c r="Q213" s="178" t="str">
        <f>IFERROR((VLOOKUP(A213,GM_Table,8,FALSE)-SUMIFS(D:D,A:A,A213,B:B,B213,C:C,C213)),"")</f>
        <v/>
      </c>
      <c r="R213" s="178" t="str">
        <f>IFERROR(CONCATENATE(VLOOKUP(A213,GM_Table,12,FALSE)," ",(VLOOKUP(A213,GM_Table,13,FALSE))),"")</f>
        <v/>
      </c>
      <c r="T213" s="203">
        <v>542.40998833205617</v>
      </c>
      <c r="U213" s="203">
        <v>0</v>
      </c>
      <c r="V213" s="204" t="s">
        <v>2597</v>
      </c>
      <c r="W213" s="203">
        <v>484.29463243933589</v>
      </c>
      <c r="X213" s="205">
        <v>-10.714285714285712</v>
      </c>
      <c r="Y213" s="204" t="s">
        <v>2597</v>
      </c>
      <c r="Z213" s="204" t="s">
        <v>2597</v>
      </c>
      <c r="AA213" s="204" t="s">
        <v>2597</v>
      </c>
      <c r="AB213" s="204" t="s">
        <v>2597</v>
      </c>
      <c r="AC213" s="204" t="s">
        <v>2597</v>
      </c>
    </row>
    <row r="214" spans="1:29" ht="15">
      <c r="A214" s="182" t="s">
        <v>1488</v>
      </c>
      <c r="B214" s="182" t="s">
        <v>1830</v>
      </c>
      <c r="C214" s="182"/>
      <c r="D214" s="183">
        <v>1.6679999999999999</v>
      </c>
      <c r="E214" s="183">
        <v>932.7120663902964</v>
      </c>
      <c r="F214" s="183">
        <v>1034.7706936986972</v>
      </c>
      <c r="G214" s="184">
        <v>0</v>
      </c>
      <c r="H214" s="184">
        <v>0</v>
      </c>
      <c r="I214" s="184">
        <v>0</v>
      </c>
      <c r="J214" s="177" t="b">
        <f>IF(ISBLANK(CertifiedCrop[[#This Row],[1. Identifiant interne d’exploitation agricole*]]),"",IF(ISERROR(MATCH(CertifiedCrop[[#This Row],[1. Identifiant interne d’exploitation agricole*]],GroupMember[1. Identifiant interne d’exploitation agricole*],0)),FALSE,TRUE))</f>
        <v>1</v>
      </c>
      <c r="K214" s="177" t="b">
        <f t="array" ref="K214">IF(ISBLANK(CertifiedCrop[[#This Row],[2. Produit agricole certifié*]]),"",IF(ISERROR(MATCH(1,(#REF!=CertifiedCrop[[#This Row],[2. Produit agricole certifié*]])*(#REF!=CertifiedCrop[[#This Row],[3. Variété**]]),0)),FALSE,TRUE))</f>
        <v>0</v>
      </c>
      <c r="L214" s="185" t="str">
        <f t="shared" si="15"/>
        <v/>
      </c>
      <c r="M214" s="186" t="str">
        <f t="shared" si="16"/>
        <v/>
      </c>
      <c r="N214" s="187" t="str">
        <f t="shared" si="17"/>
        <v/>
      </c>
      <c r="O214" s="188">
        <f t="shared" si="18"/>
        <v>559.1798959174439</v>
      </c>
      <c r="P214" s="188">
        <f t="shared" si="19"/>
        <v>620.36612332056188</v>
      </c>
      <c r="Q214" s="178" t="str">
        <f>IFERROR((VLOOKUP(A214,GM_Table,8,FALSE)-SUMIFS(D:D,A:A,A214,B:B,B214,C:C,C214)),"")</f>
        <v/>
      </c>
      <c r="R214" s="178" t="str">
        <f>IFERROR(CONCATENATE(VLOOKUP(A214,GM_Table,12,FALSE)," ",(VLOOKUP(A214,GM_Table,13,FALSE))),"")</f>
        <v/>
      </c>
      <c r="T214" s="203">
        <v>620.36612332056188</v>
      </c>
      <c r="U214" s="203">
        <v>0</v>
      </c>
      <c r="V214" s="204" t="s">
        <v>2597</v>
      </c>
      <c r="W214" s="203">
        <v>553.89832439335885</v>
      </c>
      <c r="X214" s="205">
        <v>-10.714285714285712</v>
      </c>
      <c r="Y214" s="204" t="s">
        <v>2597</v>
      </c>
      <c r="Z214" s="204" t="s">
        <v>2597</v>
      </c>
      <c r="AA214" s="204" t="s">
        <v>2597</v>
      </c>
      <c r="AB214" s="204" t="s">
        <v>2597</v>
      </c>
      <c r="AC214" s="204" t="s">
        <v>2597</v>
      </c>
    </row>
    <row r="215" spans="1:29" ht="15">
      <c r="A215" s="182" t="s">
        <v>1491</v>
      </c>
      <c r="B215" s="182" t="s">
        <v>1830</v>
      </c>
      <c r="C215" s="182"/>
      <c r="D215" s="183">
        <v>0.92749999999999999</v>
      </c>
      <c r="E215" s="183">
        <v>521.7651249999999</v>
      </c>
      <c r="F215" s="183">
        <v>503.08404401915709</v>
      </c>
      <c r="G215" s="184">
        <v>0</v>
      </c>
      <c r="H215" s="184">
        <v>0</v>
      </c>
      <c r="I215" s="184">
        <v>0</v>
      </c>
      <c r="J215" s="177" t="b">
        <f>IF(ISBLANK(CertifiedCrop[[#This Row],[1. Identifiant interne d’exploitation agricole*]]),"",IF(ISERROR(MATCH(CertifiedCrop[[#This Row],[1. Identifiant interne d’exploitation agricole*]],GroupMember[1. Identifiant interne d’exploitation agricole*],0)),FALSE,TRUE))</f>
        <v>1</v>
      </c>
      <c r="K215" s="177" t="b">
        <f t="array" ref="K215">IF(ISBLANK(CertifiedCrop[[#This Row],[2. Produit agricole certifié*]]),"",IF(ISERROR(MATCH(1,(#REF!=CertifiedCrop[[#This Row],[2. Produit agricole certifié*]])*(#REF!=CertifiedCrop[[#This Row],[3. Variété**]]),0)),FALSE,TRUE))</f>
        <v>0</v>
      </c>
      <c r="L215" s="185" t="str">
        <f t="shared" si="15"/>
        <v/>
      </c>
      <c r="M215" s="186" t="str">
        <f t="shared" si="16"/>
        <v/>
      </c>
      <c r="N215" s="187" t="str">
        <f t="shared" si="17"/>
        <v/>
      </c>
      <c r="O215" s="188">
        <f t="shared" si="18"/>
        <v>562.54999999999984</v>
      </c>
      <c r="P215" s="188">
        <f t="shared" si="19"/>
        <v>542.40867279693487</v>
      </c>
      <c r="Q215" s="178" t="str">
        <f>IFERROR((VLOOKUP(A215,GM_Table,8,FALSE)-SUMIFS(D:D,A:A,A215,B:B,B215,C:C,C215)),"")</f>
        <v/>
      </c>
      <c r="R215" s="178" t="str">
        <f>IFERROR(CONCATENATE(VLOOKUP(A215,GM_Table,12,FALSE)," ",(VLOOKUP(A215,GM_Table,13,FALSE))),"")</f>
        <v/>
      </c>
      <c r="T215" s="203">
        <v>542.40867279693487</v>
      </c>
      <c r="U215" s="203">
        <v>0</v>
      </c>
      <c r="V215" s="204" t="s">
        <v>2597</v>
      </c>
      <c r="W215" s="203">
        <v>484.29345785440609</v>
      </c>
      <c r="X215" s="205">
        <v>-10.714285714285722</v>
      </c>
      <c r="Y215" s="204" t="s">
        <v>2597</v>
      </c>
      <c r="Z215" s="204" t="s">
        <v>2597</v>
      </c>
      <c r="AA215" s="204" t="s">
        <v>2597</v>
      </c>
      <c r="AB215" s="204" t="s">
        <v>2597</v>
      </c>
      <c r="AC215" s="204" t="s">
        <v>2597</v>
      </c>
    </row>
    <row r="216" spans="1:29" ht="15">
      <c r="A216" s="182" t="s">
        <v>1495</v>
      </c>
      <c r="B216" s="182" t="s">
        <v>1830</v>
      </c>
      <c r="C216" s="182"/>
      <c r="D216" s="183">
        <v>1.3083</v>
      </c>
      <c r="E216" s="183">
        <v>736.13212531418981</v>
      </c>
      <c r="F216" s="183">
        <v>811.26083153950049</v>
      </c>
      <c r="G216" s="184">
        <v>0</v>
      </c>
      <c r="H216" s="184">
        <v>0</v>
      </c>
      <c r="I216" s="184">
        <v>0</v>
      </c>
      <c r="J216" s="177" t="b">
        <f>IF(ISBLANK(CertifiedCrop[[#This Row],[1. Identifiant interne d’exploitation agricole*]]),"",IF(ISERROR(MATCH(CertifiedCrop[[#This Row],[1. Identifiant interne d’exploitation agricole*]],GroupMember[1. Identifiant interne d’exploitation agricole*],0)),FALSE,TRUE))</f>
        <v>1</v>
      </c>
      <c r="K216" s="177" t="b">
        <f t="array" ref="K216">IF(ISBLANK(CertifiedCrop[[#This Row],[2. Produit agricole certifié*]]),"",IF(ISERROR(MATCH(1,(#REF!=CertifiedCrop[[#This Row],[2. Produit agricole certifié*]])*(#REF!=CertifiedCrop[[#This Row],[3. Variété**]]),0)),FALSE,TRUE))</f>
        <v>0</v>
      </c>
      <c r="L216" s="185" t="str">
        <f t="shared" si="15"/>
        <v/>
      </c>
      <c r="M216" s="186" t="str">
        <f t="shared" si="16"/>
        <v/>
      </c>
      <c r="N216" s="187" t="str">
        <f t="shared" si="17"/>
        <v/>
      </c>
      <c r="O216" s="188">
        <f t="shared" si="18"/>
        <v>562.66309356736974</v>
      </c>
      <c r="P216" s="188">
        <f t="shared" si="19"/>
        <v>620.08777156577275</v>
      </c>
      <c r="Q216" s="178" t="str">
        <f>IFERROR((VLOOKUP(A216,GM_Table,8,FALSE)-SUMIFS(D:D,A:A,A216,B:B,B216,C:C,C216)),"")</f>
        <v/>
      </c>
      <c r="R216" s="178" t="str">
        <f>IFERROR(CONCATENATE(VLOOKUP(A216,GM_Table,12,FALSE)," ",(VLOOKUP(A216,GM_Table,13,FALSE))),"")</f>
        <v/>
      </c>
      <c r="T216" s="203">
        <v>620.08777156577275</v>
      </c>
      <c r="U216" s="203">
        <v>0</v>
      </c>
      <c r="V216" s="204" t="s">
        <v>2597</v>
      </c>
      <c r="W216" s="203">
        <v>553.64979604086852</v>
      </c>
      <c r="X216" s="205">
        <v>-10.714285714285715</v>
      </c>
      <c r="Y216" s="204" t="s">
        <v>2597</v>
      </c>
      <c r="Z216" s="204" t="s">
        <v>2597</v>
      </c>
      <c r="AA216" s="204" t="s">
        <v>2597</v>
      </c>
      <c r="AB216" s="204" t="s">
        <v>2597</v>
      </c>
      <c r="AC216" s="204" t="s">
        <v>2597</v>
      </c>
    </row>
    <row r="217" spans="1:29" ht="15">
      <c r="A217" s="182" t="s">
        <v>1499</v>
      </c>
      <c r="B217" s="182" t="s">
        <v>1830</v>
      </c>
      <c r="C217" s="182"/>
      <c r="D217" s="183">
        <v>1.3138999999999998</v>
      </c>
      <c r="E217" s="183">
        <v>727.99459788266915</v>
      </c>
      <c r="F217" s="183">
        <v>814.73901688199624</v>
      </c>
      <c r="G217" s="184">
        <v>0</v>
      </c>
      <c r="H217" s="184">
        <v>0</v>
      </c>
      <c r="I217" s="184">
        <v>0</v>
      </c>
      <c r="J217" s="177" t="b">
        <f>IF(ISBLANK(CertifiedCrop[[#This Row],[1. Identifiant interne d’exploitation agricole*]]),"",IF(ISERROR(MATCH(CertifiedCrop[[#This Row],[1. Identifiant interne d’exploitation agricole*]],GroupMember[1. Identifiant interne d’exploitation agricole*],0)),FALSE,TRUE))</f>
        <v>1</v>
      </c>
      <c r="K217" s="177" t="b">
        <f t="array" ref="K217">IF(ISBLANK(CertifiedCrop[[#This Row],[2. Produit agricole certifié*]]),"",IF(ISERROR(MATCH(1,(#REF!=CertifiedCrop[[#This Row],[2. Produit agricole certifié*]])*(#REF!=CertifiedCrop[[#This Row],[3. Variété**]]),0)),FALSE,TRUE))</f>
        <v>0</v>
      </c>
      <c r="L217" s="185" t="str">
        <f t="shared" si="15"/>
        <v/>
      </c>
      <c r="M217" s="186" t="str">
        <f t="shared" si="16"/>
        <v/>
      </c>
      <c r="N217" s="187" t="str">
        <f t="shared" si="17"/>
        <v/>
      </c>
      <c r="O217" s="188">
        <f t="shared" si="18"/>
        <v>554.07154112388253</v>
      </c>
      <c r="P217" s="188">
        <f t="shared" si="19"/>
        <v>620.09210509323111</v>
      </c>
      <c r="Q217" s="178" t="str">
        <f>IFERROR((VLOOKUP(A217,GM_Table,8,FALSE)-SUMIFS(D:D,A:A,A217,B:B,B217,C:C,C217)),"")</f>
        <v/>
      </c>
      <c r="R217" s="178" t="str">
        <f>IFERROR(CONCATENATE(VLOOKUP(A217,GM_Table,12,FALSE)," ",(VLOOKUP(A217,GM_Table,13,FALSE))),"")</f>
        <v/>
      </c>
      <c r="T217" s="203">
        <v>620.09210509323111</v>
      </c>
      <c r="U217" s="203">
        <v>0</v>
      </c>
      <c r="V217" s="204" t="s">
        <v>2597</v>
      </c>
      <c r="W217" s="203">
        <v>553.65366526181344</v>
      </c>
      <c r="X217" s="205">
        <v>-10.714285714285722</v>
      </c>
      <c r="Y217" s="204" t="s">
        <v>2597</v>
      </c>
      <c r="Z217" s="204" t="s">
        <v>2597</v>
      </c>
      <c r="AA217" s="204" t="s">
        <v>2597</v>
      </c>
      <c r="AB217" s="204" t="s">
        <v>2597</v>
      </c>
      <c r="AC217" s="204" t="s">
        <v>2597</v>
      </c>
    </row>
    <row r="218" spans="1:29" ht="15">
      <c r="A218" s="182" t="s">
        <v>1502</v>
      </c>
      <c r="B218" s="182" t="s">
        <v>1830</v>
      </c>
      <c r="C218" s="182"/>
      <c r="D218" s="183">
        <v>1.6335999999999999</v>
      </c>
      <c r="E218" s="183">
        <v>904.859928411341</v>
      </c>
      <c r="F218" s="183">
        <v>1013.386612232239</v>
      </c>
      <c r="G218" s="184">
        <v>0</v>
      </c>
      <c r="H218" s="184">
        <v>0</v>
      </c>
      <c r="I218" s="184">
        <v>0</v>
      </c>
      <c r="J218" s="177" t="b">
        <f>IF(ISBLANK(CertifiedCrop[[#This Row],[1. Identifiant interne d’exploitation agricole*]]),"",IF(ISERROR(MATCH(CertifiedCrop[[#This Row],[1. Identifiant interne d’exploitation agricole*]],GroupMember[1. Identifiant interne d’exploitation agricole*],0)),FALSE,TRUE))</f>
        <v>1</v>
      </c>
      <c r="K218" s="177" t="b">
        <f t="array" ref="K218">IF(ISBLANK(CertifiedCrop[[#This Row],[2. Produit agricole certifié*]]),"",IF(ISERROR(MATCH(1,(#REF!=CertifiedCrop[[#This Row],[2. Produit agricole certifié*]])*(#REF!=CertifiedCrop[[#This Row],[3. Variété**]]),0)),FALSE,TRUE))</f>
        <v>0</v>
      </c>
      <c r="L218" s="185" t="str">
        <f t="shared" si="15"/>
        <v/>
      </c>
      <c r="M218" s="186" t="str">
        <f t="shared" si="16"/>
        <v/>
      </c>
      <c r="N218" s="187" t="str">
        <f t="shared" si="17"/>
        <v/>
      </c>
      <c r="O218" s="188">
        <f t="shared" si="18"/>
        <v>553.90544099616864</v>
      </c>
      <c r="P218" s="188">
        <f t="shared" si="19"/>
        <v>620.33950308045974</v>
      </c>
      <c r="Q218" s="178" t="str">
        <f>IFERROR((VLOOKUP(A218,GM_Table,8,FALSE)-SUMIFS(D:D,A:A,A218,B:B,B218,C:C,C218)),"")</f>
        <v/>
      </c>
      <c r="R218" s="178" t="str">
        <f>IFERROR(CONCATENATE(VLOOKUP(A218,GM_Table,12,FALSE)," ",(VLOOKUP(A218,GM_Table,13,FALSE))),"")</f>
        <v/>
      </c>
      <c r="T218" s="203">
        <v>620.33950308045974</v>
      </c>
      <c r="U218" s="203">
        <v>0</v>
      </c>
      <c r="V218" s="204" t="s">
        <v>2597</v>
      </c>
      <c r="W218" s="203">
        <v>553.87455632183901</v>
      </c>
      <c r="X218" s="205">
        <v>-10.714285714285721</v>
      </c>
      <c r="Y218" s="204" t="s">
        <v>2597</v>
      </c>
      <c r="Z218" s="204" t="s">
        <v>2597</v>
      </c>
      <c r="AA218" s="204" t="s">
        <v>2597</v>
      </c>
      <c r="AB218" s="204" t="s">
        <v>2597</v>
      </c>
      <c r="AC218" s="204" t="s">
        <v>2597</v>
      </c>
    </row>
    <row r="219" spans="1:29" ht="15">
      <c r="A219" s="182" t="s">
        <v>1504</v>
      </c>
      <c r="B219" s="182" t="s">
        <v>1830</v>
      </c>
      <c r="C219" s="182"/>
      <c r="D219" s="183">
        <v>2.3929</v>
      </c>
      <c r="E219" s="183">
        <v>1327.303304176743</v>
      </c>
      <c r="F219" s="183">
        <v>1485.8164168465223</v>
      </c>
      <c r="G219" s="184">
        <v>0</v>
      </c>
      <c r="H219" s="184">
        <v>0</v>
      </c>
      <c r="I219" s="184">
        <v>0</v>
      </c>
      <c r="J219" s="177" t="b">
        <f>IF(ISBLANK(CertifiedCrop[[#This Row],[1. Identifiant interne d’exploitation agricole*]]),"",IF(ISERROR(MATCH(CertifiedCrop[[#This Row],[1. Identifiant interne d’exploitation agricole*]],GroupMember[1. Identifiant interne d’exploitation agricole*],0)),FALSE,TRUE))</f>
        <v>1</v>
      </c>
      <c r="K219" s="177" t="b">
        <f t="array" ref="K219">IF(ISBLANK(CertifiedCrop[[#This Row],[2. Produit agricole certifié*]]),"",IF(ISERROR(MATCH(1,(#REF!=CertifiedCrop[[#This Row],[2. Produit agricole certifié*]])*(#REF!=CertifiedCrop[[#This Row],[3. Variété**]]),0)),FALSE,TRUE))</f>
        <v>0</v>
      </c>
      <c r="L219" s="185" t="str">
        <f t="shared" si="15"/>
        <v/>
      </c>
      <c r="M219" s="186" t="str">
        <f t="shared" si="16"/>
        <v/>
      </c>
      <c r="N219" s="187" t="str">
        <f t="shared" si="17"/>
        <v/>
      </c>
      <c r="O219" s="188">
        <f t="shared" si="18"/>
        <v>554.68398352490408</v>
      </c>
      <c r="P219" s="188">
        <f t="shared" si="19"/>
        <v>620.92708297317995</v>
      </c>
      <c r="Q219" s="178" t="str">
        <f>IFERROR((VLOOKUP(A219,GM_Table,8,FALSE)-SUMIFS(D:D,A:A,A219,B:B,B219,C:C,C219)),"")</f>
        <v/>
      </c>
      <c r="R219" s="178" t="str">
        <f>IFERROR(CONCATENATE(VLOOKUP(A219,GM_Table,12,FALSE)," ",(VLOOKUP(A219,GM_Table,13,FALSE))),"")</f>
        <v/>
      </c>
      <c r="T219" s="203">
        <v>620.92708297317995</v>
      </c>
      <c r="U219" s="203">
        <v>0</v>
      </c>
      <c r="V219" s="204" t="s">
        <v>2597</v>
      </c>
      <c r="W219" s="203">
        <v>554.39918122605354</v>
      </c>
      <c r="X219" s="205">
        <v>-10.714285714285712</v>
      </c>
      <c r="Y219" s="204" t="s">
        <v>2597</v>
      </c>
      <c r="Z219" s="204" t="s">
        <v>2597</v>
      </c>
      <c r="AA219" s="204" t="s">
        <v>2597</v>
      </c>
      <c r="AB219" s="204" t="s">
        <v>2597</v>
      </c>
      <c r="AC219" s="204" t="s">
        <v>2597</v>
      </c>
    </row>
    <row r="220" spans="1:29" ht="15">
      <c r="A220" s="182" t="s">
        <v>1508</v>
      </c>
      <c r="B220" s="182" t="s">
        <v>1830</v>
      </c>
      <c r="C220" s="182"/>
      <c r="D220" s="183">
        <v>0.88429999999999997</v>
      </c>
      <c r="E220" s="183">
        <v>489.54919534561947</v>
      </c>
      <c r="F220" s="183">
        <v>479.62242714434325</v>
      </c>
      <c r="G220" s="184">
        <v>0</v>
      </c>
      <c r="H220" s="184">
        <v>0</v>
      </c>
      <c r="I220" s="184">
        <v>0</v>
      </c>
      <c r="J220" s="177" t="b">
        <f>IF(ISBLANK(CertifiedCrop[[#This Row],[1. Identifiant interne d’exploitation agricole*]]),"",IF(ISERROR(MATCH(CertifiedCrop[[#This Row],[1. Identifiant interne d’exploitation agricole*]],GroupMember[1. Identifiant interne d’exploitation agricole*],0)),FALSE,TRUE))</f>
        <v>1</v>
      </c>
      <c r="K220" s="177" t="b">
        <f t="array" ref="K220">IF(ISBLANK(CertifiedCrop[[#This Row],[2. Produit agricole certifié*]]),"",IF(ISERROR(MATCH(1,(#REF!=CertifiedCrop[[#This Row],[2. Produit agricole certifié*]])*(#REF!=CertifiedCrop[[#This Row],[3. Variété**]]),0)),FALSE,TRUE))</f>
        <v>0</v>
      </c>
      <c r="L220" s="185" t="str">
        <f t="shared" si="15"/>
        <v/>
      </c>
      <c r="M220" s="186" t="str">
        <f t="shared" si="16"/>
        <v/>
      </c>
      <c r="N220" s="187" t="str">
        <f t="shared" si="17"/>
        <v/>
      </c>
      <c r="O220" s="188">
        <f t="shared" si="18"/>
        <v>553.60080893997451</v>
      </c>
      <c r="P220" s="188">
        <f t="shared" si="19"/>
        <v>542.37524272796929</v>
      </c>
      <c r="Q220" s="178" t="str">
        <f>IFERROR((VLOOKUP(A220,GM_Table,8,FALSE)-SUMIFS(D:D,A:A,A220,B:B,B220,C:C,C220)),"")</f>
        <v/>
      </c>
      <c r="R220" s="178" t="str">
        <f>IFERROR(CONCATENATE(VLOOKUP(A220,GM_Table,12,FALSE)," ",(VLOOKUP(A220,GM_Table,13,FALSE))),"")</f>
        <v/>
      </c>
      <c r="T220" s="203">
        <v>542.37524272796929</v>
      </c>
      <c r="U220" s="203">
        <v>0</v>
      </c>
      <c r="V220" s="204" t="s">
        <v>2597</v>
      </c>
      <c r="W220" s="203">
        <v>484.26360957854405</v>
      </c>
      <c r="X220" s="205">
        <v>-10.714285714285708</v>
      </c>
      <c r="Y220" s="204" t="s">
        <v>2597</v>
      </c>
      <c r="Z220" s="204" t="s">
        <v>2597</v>
      </c>
      <c r="AA220" s="204" t="s">
        <v>2597</v>
      </c>
      <c r="AB220" s="204" t="s">
        <v>2597</v>
      </c>
      <c r="AC220" s="204" t="s">
        <v>2597</v>
      </c>
    </row>
    <row r="221" spans="1:29" ht="15">
      <c r="A221" s="182" t="s">
        <v>1513</v>
      </c>
      <c r="B221" s="182" t="s">
        <v>1830</v>
      </c>
      <c r="C221" s="182"/>
      <c r="D221" s="183">
        <v>2.2879999999999998</v>
      </c>
      <c r="E221" s="183">
        <v>1267.7496744337166</v>
      </c>
      <c r="F221" s="183">
        <v>1420.4954345702172</v>
      </c>
      <c r="G221" s="184">
        <v>0</v>
      </c>
      <c r="H221" s="184">
        <v>0</v>
      </c>
      <c r="I221" s="184">
        <v>0</v>
      </c>
      <c r="J221" s="177" t="b">
        <f>IF(ISBLANK(CertifiedCrop[[#This Row],[1. Identifiant interne d’exploitation agricole*]]),"",IF(ISERROR(MATCH(CertifiedCrop[[#This Row],[1. Identifiant interne d’exploitation agricole*]],GroupMember[1. Identifiant interne d’exploitation agricole*],0)),FALSE,TRUE))</f>
        <v>1</v>
      </c>
      <c r="K221" s="177" t="b">
        <f t="array" ref="K221">IF(ISBLANK(CertifiedCrop[[#This Row],[2. Produit agricole certifié*]]),"",IF(ISERROR(MATCH(1,(#REF!=CertifiedCrop[[#This Row],[2. Produit agricole certifié*]])*(#REF!=CertifiedCrop[[#This Row],[3. Variété**]]),0)),FALSE,TRUE))</f>
        <v>0</v>
      </c>
      <c r="L221" s="185" t="str">
        <f t="shared" si="15"/>
        <v/>
      </c>
      <c r="M221" s="186" t="str">
        <f t="shared" si="16"/>
        <v/>
      </c>
      <c r="N221" s="187" t="str">
        <f t="shared" si="17"/>
        <v/>
      </c>
      <c r="O221" s="188">
        <f t="shared" si="18"/>
        <v>554.0863961685825</v>
      </c>
      <c r="P221" s="188">
        <f t="shared" si="19"/>
        <v>620.84590671775231</v>
      </c>
      <c r="Q221" s="178" t="str">
        <f>IFERROR((VLOOKUP(A221,GM_Table,8,FALSE)-SUMIFS(D:D,A:A,A221,B:B,B221,C:C,C221)),"")</f>
        <v/>
      </c>
      <c r="R221" s="178" t="str">
        <f>IFERROR(CONCATENATE(VLOOKUP(A221,GM_Table,12,FALSE)," ",(VLOOKUP(A221,GM_Table,13,FALSE))),"")</f>
        <v/>
      </c>
      <c r="T221" s="203">
        <v>620.84590671775231</v>
      </c>
      <c r="U221" s="203">
        <v>0</v>
      </c>
      <c r="V221" s="204" t="s">
        <v>2597</v>
      </c>
      <c r="W221" s="203">
        <v>554.32670242656457</v>
      </c>
      <c r="X221" s="205">
        <v>-10.714285714285714</v>
      </c>
      <c r="Y221" s="204" t="s">
        <v>2597</v>
      </c>
      <c r="Z221" s="204" t="s">
        <v>2597</v>
      </c>
      <c r="AA221" s="204" t="s">
        <v>2597</v>
      </c>
      <c r="AB221" s="204" t="s">
        <v>2597</v>
      </c>
      <c r="AC221" s="204" t="s">
        <v>2597</v>
      </c>
    </row>
    <row r="222" spans="1:29" ht="15">
      <c r="A222" s="182" t="s">
        <v>1517</v>
      </c>
      <c r="B222" s="182" t="s">
        <v>1830</v>
      </c>
      <c r="C222" s="182"/>
      <c r="D222" s="183">
        <v>0.71150000000000002</v>
      </c>
      <c r="E222" s="183">
        <v>394.37164236392073</v>
      </c>
      <c r="F222" s="183">
        <v>385.8048432246743</v>
      </c>
      <c r="G222" s="184">
        <v>0</v>
      </c>
      <c r="H222" s="184">
        <v>0</v>
      </c>
      <c r="I222" s="184">
        <v>0</v>
      </c>
      <c r="J222" s="177" t="b">
        <f>IF(ISBLANK(CertifiedCrop[[#This Row],[1. Identifiant interne d’exploitation agricole*]]),"",IF(ISERROR(MATCH(CertifiedCrop[[#This Row],[1. Identifiant interne d’exploitation agricole*]],GroupMember[1. Identifiant interne d’exploitation agricole*],0)),FALSE,TRUE))</f>
        <v>1</v>
      </c>
      <c r="K222" s="177" t="b">
        <f t="array" ref="K222">IF(ISBLANK(CertifiedCrop[[#This Row],[2. Produit agricole certifié*]]),"",IF(ISERROR(MATCH(1,(#REF!=CertifiedCrop[[#This Row],[2. Produit agricole certifié*]])*(#REF!=CertifiedCrop[[#This Row],[3. Variété**]]),0)),FALSE,TRUE))</f>
        <v>0</v>
      </c>
      <c r="L222" s="185" t="str">
        <f t="shared" si="15"/>
        <v/>
      </c>
      <c r="M222" s="186" t="str">
        <f t="shared" si="16"/>
        <v/>
      </c>
      <c r="N222" s="187" t="str">
        <f t="shared" si="17"/>
        <v/>
      </c>
      <c r="O222" s="188">
        <f t="shared" si="18"/>
        <v>554.28199910600244</v>
      </c>
      <c r="P222" s="188">
        <f t="shared" si="19"/>
        <v>542.24152245210723</v>
      </c>
      <c r="Q222" s="178" t="str">
        <f>IFERROR((VLOOKUP(A222,GM_Table,8,FALSE)-SUMIFS(D:D,A:A,A222,B:B,B222,C:C,C222)),"")</f>
        <v/>
      </c>
      <c r="R222" s="178" t="str">
        <f>IFERROR(CONCATENATE(VLOOKUP(A222,GM_Table,12,FALSE)," ",(VLOOKUP(A222,GM_Table,13,FALSE))),"")</f>
        <v/>
      </c>
      <c r="T222" s="203">
        <v>542.24152245210723</v>
      </c>
      <c r="U222" s="203">
        <v>0</v>
      </c>
      <c r="V222" s="204" t="s">
        <v>2597</v>
      </c>
      <c r="W222" s="203">
        <v>484.14421647509579</v>
      </c>
      <c r="X222" s="205">
        <v>-10.714285714285705</v>
      </c>
      <c r="Y222" s="204" t="s">
        <v>2597</v>
      </c>
      <c r="Z222" s="204" t="s">
        <v>2597</v>
      </c>
      <c r="AA222" s="204" t="s">
        <v>2597</v>
      </c>
      <c r="AB222" s="204" t="s">
        <v>2597</v>
      </c>
      <c r="AC222" s="204" t="s">
        <v>2597</v>
      </c>
    </row>
    <row r="223" spans="1:29" ht="15">
      <c r="A223" s="182" t="s">
        <v>1519</v>
      </c>
      <c r="B223" s="182" t="s">
        <v>1830</v>
      </c>
      <c r="C223" s="182"/>
      <c r="D223" s="183">
        <v>0.626</v>
      </c>
      <c r="E223" s="183">
        <v>346.46764492337167</v>
      </c>
      <c r="F223" s="183">
        <v>339.40177459249054</v>
      </c>
      <c r="G223" s="184">
        <v>0</v>
      </c>
      <c r="H223" s="184">
        <v>0</v>
      </c>
      <c r="I223" s="184">
        <v>0</v>
      </c>
      <c r="J223" s="177" t="b">
        <f>IF(ISBLANK(CertifiedCrop[[#This Row],[1. Identifiant interne d’exploitation agricole*]]),"",IF(ISERROR(MATCH(CertifiedCrop[[#This Row],[1. Identifiant interne d’exploitation agricole*]],GroupMember[1. Identifiant interne d’exploitation agricole*],0)),FALSE,TRUE))</f>
        <v>1</v>
      </c>
      <c r="K223" s="177" t="b">
        <f t="array" ref="K223">IF(ISBLANK(CertifiedCrop[[#This Row],[2. Produit agricole certifié*]]),"",IF(ISERROR(MATCH(1,(#REF!=CertifiedCrop[[#This Row],[2. Produit agricole certifié*]])*(#REF!=CertifiedCrop[[#This Row],[3. Variété**]]),0)),FALSE,TRUE))</f>
        <v>0</v>
      </c>
      <c r="L223" s="185" t="str">
        <f t="shared" si="15"/>
        <v/>
      </c>
      <c r="M223" s="186" t="str">
        <f t="shared" si="16"/>
        <v/>
      </c>
      <c r="N223" s="187" t="str">
        <f t="shared" si="17"/>
        <v/>
      </c>
      <c r="O223" s="188">
        <f t="shared" si="18"/>
        <v>553.46269157088125</v>
      </c>
      <c r="P223" s="188">
        <f t="shared" si="19"/>
        <v>542.17535877394653</v>
      </c>
      <c r="Q223" s="178" t="str">
        <f>IFERROR((VLOOKUP(A223,GM_Table,8,FALSE)-SUMIFS(D:D,A:A,A223,B:B,B223,C:C,C223)),"")</f>
        <v/>
      </c>
      <c r="R223" s="178" t="str">
        <f>IFERROR(CONCATENATE(VLOOKUP(A223,GM_Table,12,FALSE)," ",(VLOOKUP(A223,GM_Table,13,FALSE))),"")</f>
        <v/>
      </c>
      <c r="T223" s="203">
        <v>542.17535877394653</v>
      </c>
      <c r="U223" s="203">
        <v>0</v>
      </c>
      <c r="V223" s="204" t="s">
        <v>2597</v>
      </c>
      <c r="W223" s="203">
        <v>484.08514176245222</v>
      </c>
      <c r="X223" s="205">
        <v>-10.714285714285721</v>
      </c>
      <c r="Y223" s="204" t="s">
        <v>2597</v>
      </c>
      <c r="Z223" s="204" t="s">
        <v>2597</v>
      </c>
      <c r="AA223" s="204" t="s">
        <v>2597</v>
      </c>
      <c r="AB223" s="204" t="s">
        <v>2597</v>
      </c>
      <c r="AC223" s="204" t="s">
        <v>2597</v>
      </c>
    </row>
    <row r="224" spans="1:29" ht="15">
      <c r="A224" s="182" t="s">
        <v>1522</v>
      </c>
      <c r="B224" s="182" t="s">
        <v>1830</v>
      </c>
      <c r="C224" s="182"/>
      <c r="D224" s="183">
        <v>1.2567999999999999</v>
      </c>
      <c r="E224" s="183">
        <v>697.15678904275876</v>
      </c>
      <c r="F224" s="183">
        <v>779.27622408396007</v>
      </c>
      <c r="G224" s="184">
        <v>0</v>
      </c>
      <c r="H224" s="184">
        <v>0</v>
      </c>
      <c r="I224" s="184">
        <v>0</v>
      </c>
      <c r="J224" s="177" t="b">
        <f>IF(ISBLANK(CertifiedCrop[[#This Row],[1. Identifiant interne d’exploitation agricole*]]),"",IF(ISERROR(MATCH(CertifiedCrop[[#This Row],[1. Identifiant interne d’exploitation agricole*]],GroupMember[1. Identifiant interne d’exploitation agricole*],0)),FALSE,TRUE))</f>
        <v>1</v>
      </c>
      <c r="K224" s="177" t="b">
        <f t="array" ref="K224">IF(ISBLANK(CertifiedCrop[[#This Row],[2. Produit agricole certifié*]]),"",IF(ISERROR(MATCH(1,(#REF!=CertifiedCrop[[#This Row],[2. Produit agricole certifié*]])*(#REF!=CertifiedCrop[[#This Row],[3. Variété**]]),0)),FALSE,TRUE))</f>
        <v>0</v>
      </c>
      <c r="L224" s="185" t="str">
        <f t="shared" si="15"/>
        <v/>
      </c>
      <c r="M224" s="186" t="str">
        <f t="shared" si="16"/>
        <v/>
      </c>
      <c r="N224" s="187" t="str">
        <f t="shared" si="17"/>
        <v/>
      </c>
      <c r="O224" s="188">
        <f t="shared" si="18"/>
        <v>554.70782068965536</v>
      </c>
      <c r="P224" s="188">
        <f t="shared" si="19"/>
        <v>620.04791859003831</v>
      </c>
      <c r="Q224" s="178" t="str">
        <f>IFERROR((VLOOKUP(A224,GM_Table,8,FALSE)-SUMIFS(D:D,A:A,A224,B:B,B224,C:C,C224)),"")</f>
        <v/>
      </c>
      <c r="R224" s="178" t="str">
        <f>IFERROR(CONCATENATE(VLOOKUP(A224,GM_Table,12,FALSE)," ",(VLOOKUP(A224,GM_Table,13,FALSE))),"")</f>
        <v/>
      </c>
      <c r="T224" s="203">
        <v>620.04791859003831</v>
      </c>
      <c r="U224" s="203">
        <v>0</v>
      </c>
      <c r="V224" s="204" t="s">
        <v>2597</v>
      </c>
      <c r="W224" s="203">
        <v>553.61421302681993</v>
      </c>
      <c r="X224" s="205">
        <v>-10.714285714285712</v>
      </c>
      <c r="Y224" s="204" t="s">
        <v>2597</v>
      </c>
      <c r="Z224" s="204" t="s">
        <v>2597</v>
      </c>
      <c r="AA224" s="204" t="s">
        <v>2597</v>
      </c>
      <c r="AB224" s="204" t="s">
        <v>2597</v>
      </c>
      <c r="AC224" s="204" t="s">
        <v>2597</v>
      </c>
    </row>
    <row r="225" spans="1:29" ht="15">
      <c r="A225" s="182" t="s">
        <v>1527</v>
      </c>
      <c r="B225" s="182" t="s">
        <v>1830</v>
      </c>
      <c r="C225" s="182"/>
      <c r="D225" s="183">
        <v>1.3066</v>
      </c>
      <c r="E225" s="183">
        <v>632.35560549409968</v>
      </c>
      <c r="F225" s="183">
        <v>810.20496344964897</v>
      </c>
      <c r="G225" s="184">
        <v>0</v>
      </c>
      <c r="H225" s="184">
        <v>0</v>
      </c>
      <c r="I225" s="184">
        <v>0</v>
      </c>
      <c r="J225" s="177" t="b">
        <f>IF(ISBLANK(CertifiedCrop[[#This Row],[1. Identifiant interne d’exploitation agricole*]]),"",IF(ISERROR(MATCH(CertifiedCrop[[#This Row],[1. Identifiant interne d’exploitation agricole*]],GroupMember[1. Identifiant interne d’exploitation agricole*],0)),FALSE,TRUE))</f>
        <v>1</v>
      </c>
      <c r="K225" s="177" t="b">
        <f t="array" ref="K225">IF(ISBLANK(CertifiedCrop[[#This Row],[2. Produit agricole certifié*]]),"",IF(ISERROR(MATCH(1,(#REF!=CertifiedCrop[[#This Row],[2. Produit agricole certifié*]])*(#REF!=CertifiedCrop[[#This Row],[3. Variété**]]),0)),FALSE,TRUE))</f>
        <v>0</v>
      </c>
      <c r="L225" s="185" t="str">
        <f t="shared" si="15"/>
        <v/>
      </c>
      <c r="M225" s="186" t="str">
        <f t="shared" si="16"/>
        <v/>
      </c>
      <c r="N225" s="187" t="str">
        <f t="shared" si="17"/>
        <v/>
      </c>
      <c r="O225" s="188">
        <f t="shared" si="18"/>
        <v>483.97030881226061</v>
      </c>
      <c r="P225" s="188">
        <f t="shared" si="19"/>
        <v>620.08645603065133</v>
      </c>
      <c r="Q225" s="178" t="str">
        <f>IFERROR((VLOOKUP(A225,GM_Table,8,FALSE)-SUMIFS(D:D,A:A,A225,B:B,B225,C:C,C225)),"")</f>
        <v/>
      </c>
      <c r="R225" s="178" t="str">
        <f>IFERROR(CONCATENATE(VLOOKUP(A225,GM_Table,12,FALSE)," ",(VLOOKUP(A225,GM_Table,13,FALSE))),"")</f>
        <v/>
      </c>
      <c r="T225" s="203">
        <v>620.08645603065133</v>
      </c>
      <c r="U225" s="203">
        <v>0</v>
      </c>
      <c r="V225" s="204" t="s">
        <v>2597</v>
      </c>
      <c r="W225" s="203">
        <v>553.64862145593872</v>
      </c>
      <c r="X225" s="205">
        <v>-10.71428571428571</v>
      </c>
      <c r="Y225" s="204" t="s">
        <v>2597</v>
      </c>
      <c r="Z225" s="204" t="s">
        <v>2597</v>
      </c>
      <c r="AA225" s="204" t="s">
        <v>2597</v>
      </c>
      <c r="AB225" s="204" t="s">
        <v>2597</v>
      </c>
      <c r="AC225" s="204" t="s">
        <v>2597</v>
      </c>
    </row>
    <row r="226" spans="1:29" ht="15">
      <c r="A226" s="182" t="s">
        <v>1530</v>
      </c>
      <c r="B226" s="182" t="s">
        <v>1830</v>
      </c>
      <c r="C226" s="182"/>
      <c r="D226" s="183">
        <v>0.84119999999999995</v>
      </c>
      <c r="E226" s="183">
        <v>452.63912800894798</v>
      </c>
      <c r="F226" s="183">
        <v>456.21799790452718</v>
      </c>
      <c r="G226" s="184">
        <v>0</v>
      </c>
      <c r="H226" s="184">
        <v>0</v>
      </c>
      <c r="I226" s="184">
        <v>0</v>
      </c>
      <c r="J226" s="177" t="b">
        <f>IF(ISBLANK(CertifiedCrop[[#This Row],[1. Identifiant interne d’exploitation agricole*]]),"",IF(ISERROR(MATCH(CertifiedCrop[[#This Row],[1. Identifiant interne d’exploitation agricole*]],GroupMember[1. Identifiant interne d’exploitation agricole*],0)),FALSE,TRUE))</f>
        <v>1</v>
      </c>
      <c r="K226" s="177" t="b">
        <f t="array" ref="K226">IF(ISBLANK(CertifiedCrop[[#This Row],[2. Produit agricole certifié*]]),"",IF(ISERROR(MATCH(1,(#REF!=CertifiedCrop[[#This Row],[2. Produit agricole certifié*]])*(#REF!=CertifiedCrop[[#This Row],[3. Variété**]]),0)),FALSE,TRUE))</f>
        <v>0</v>
      </c>
      <c r="L226" s="185" t="str">
        <f t="shared" si="15"/>
        <v/>
      </c>
      <c r="M226" s="186" t="str">
        <f t="shared" si="16"/>
        <v/>
      </c>
      <c r="N226" s="187" t="str">
        <f t="shared" si="17"/>
        <v/>
      </c>
      <c r="O226" s="188">
        <f t="shared" si="18"/>
        <v>538.08740847473609</v>
      </c>
      <c r="P226" s="188">
        <f t="shared" si="19"/>
        <v>542.34189004342272</v>
      </c>
      <c r="Q226" s="178" t="str">
        <f>IFERROR((VLOOKUP(A226,GM_Table,8,FALSE)-SUMIFS(D:D,A:A,A226,B:B,B226,C:C,C226)),"")</f>
        <v/>
      </c>
      <c r="R226" s="178" t="str">
        <f>IFERROR(CONCATENATE(VLOOKUP(A226,GM_Table,12,FALSE)," ",(VLOOKUP(A226,GM_Table,13,FALSE))),"")</f>
        <v/>
      </c>
      <c r="T226" s="203">
        <v>542.34189004342272</v>
      </c>
      <c r="U226" s="203">
        <v>0</v>
      </c>
      <c r="V226" s="204" t="s">
        <v>2597</v>
      </c>
      <c r="W226" s="203">
        <v>484.23383039591317</v>
      </c>
      <c r="X226" s="205">
        <v>-10.71428571428571</v>
      </c>
      <c r="Y226" s="204" t="s">
        <v>2597</v>
      </c>
      <c r="Z226" s="204" t="s">
        <v>2597</v>
      </c>
      <c r="AA226" s="204" t="s">
        <v>2597</v>
      </c>
      <c r="AB226" s="204" t="s">
        <v>2597</v>
      </c>
      <c r="AC226" s="204" t="s">
        <v>2597</v>
      </c>
    </row>
    <row r="227" spans="1:29" ht="15">
      <c r="A227" s="182" t="s">
        <v>1535</v>
      </c>
      <c r="B227" s="182" t="s">
        <v>1830</v>
      </c>
      <c r="C227" s="182"/>
      <c r="D227" s="183">
        <v>13.099299999999999</v>
      </c>
      <c r="E227" s="183">
        <v>6340.603586303333</v>
      </c>
      <c r="F227" s="183">
        <v>7613.9189575020437</v>
      </c>
      <c r="G227" s="184">
        <v>0</v>
      </c>
      <c r="H227" s="184">
        <v>0</v>
      </c>
      <c r="I227" s="184">
        <v>0</v>
      </c>
      <c r="J227" s="177" t="b">
        <f>IF(ISBLANK(CertifiedCrop[[#This Row],[1. Identifiant interne d’exploitation agricole*]]),"",IF(ISERROR(MATCH(CertifiedCrop[[#This Row],[1. Identifiant interne d’exploitation agricole*]],GroupMember[1. Identifiant interne d’exploitation agricole*],0)),FALSE,TRUE))</f>
        <v>1</v>
      </c>
      <c r="K227" s="177" t="b">
        <f t="array" ref="K227">IF(ISBLANK(CertifiedCrop[[#This Row],[2. Produit agricole certifié*]]),"",IF(ISERROR(MATCH(1,(#REF!=CertifiedCrop[[#This Row],[2. Produit agricole certifié*]])*(#REF!=CertifiedCrop[[#This Row],[3. Variété**]]),0)),FALSE,TRUE))</f>
        <v>0</v>
      </c>
      <c r="L227" s="185" t="str">
        <f t="shared" si="15"/>
        <v/>
      </c>
      <c r="M227" s="186" t="str">
        <f t="shared" si="16"/>
        <v/>
      </c>
      <c r="N227" s="187" t="str">
        <f t="shared" si="17"/>
        <v/>
      </c>
      <c r="O227" s="188">
        <f t="shared" si="18"/>
        <v>484.04140574712642</v>
      </c>
      <c r="P227" s="188">
        <f t="shared" si="19"/>
        <v>581.24624655531545</v>
      </c>
      <c r="Q227" s="178" t="str">
        <f>IFERROR((VLOOKUP(A227,GM_Table,8,FALSE)-SUMIFS(D:D,A:A,A227,B:B,B227,C:C,C227)),"")</f>
        <v/>
      </c>
      <c r="R227" s="178" t="str">
        <f>IFERROR(CONCATENATE(VLOOKUP(A227,GM_Table,12,FALSE)," ",(VLOOKUP(A227,GM_Table,13,FALSE))),"")</f>
        <v/>
      </c>
      <c r="T227" s="203">
        <v>581.24624655531545</v>
      </c>
      <c r="U227" s="203">
        <v>0</v>
      </c>
      <c r="V227" s="204" t="s">
        <v>2597</v>
      </c>
      <c r="W227" s="203">
        <v>518.96986299581738</v>
      </c>
      <c r="X227" s="205">
        <v>-10.714285714285712</v>
      </c>
      <c r="Y227" s="204" t="s">
        <v>2597</v>
      </c>
      <c r="Z227" s="204" t="s">
        <v>2597</v>
      </c>
      <c r="AA227" s="204" t="s">
        <v>2597</v>
      </c>
      <c r="AB227" s="204" t="s">
        <v>2597</v>
      </c>
      <c r="AC227" s="204" t="s">
        <v>2597</v>
      </c>
    </row>
    <row r="228" spans="1:29" ht="15">
      <c r="A228" s="182" t="s">
        <v>1540</v>
      </c>
      <c r="B228" s="182" t="s">
        <v>1830</v>
      </c>
      <c r="C228" s="182"/>
      <c r="D228" s="183">
        <v>2.3669000000000002</v>
      </c>
      <c r="E228" s="183">
        <v>1310.2482515532695</v>
      </c>
      <c r="F228" s="183">
        <v>1469.6246907821344</v>
      </c>
      <c r="G228" s="184">
        <v>0</v>
      </c>
      <c r="H228" s="184">
        <v>0</v>
      </c>
      <c r="I228" s="184">
        <v>0</v>
      </c>
      <c r="J228" s="177" t="b">
        <f>IF(ISBLANK(CertifiedCrop[[#This Row],[1. Identifiant interne d’exploitation agricole*]]),"",IF(ISERROR(MATCH(CertifiedCrop[[#This Row],[1. Identifiant interne d’exploitation agricole*]],GroupMember[1. Identifiant interne d’exploitation agricole*],0)),FALSE,TRUE))</f>
        <v>1</v>
      </c>
      <c r="K228" s="177" t="b">
        <f t="array" ref="K228">IF(ISBLANK(CertifiedCrop[[#This Row],[2. Produit agricole certifié*]]),"",IF(ISERROR(MATCH(1,(#REF!=CertifiedCrop[[#This Row],[2. Produit agricole certifié*]])*(#REF!=CertifiedCrop[[#This Row],[3. Variété**]]),0)),FALSE,TRUE))</f>
        <v>0</v>
      </c>
      <c r="L228" s="185" t="str">
        <f t="shared" si="15"/>
        <v/>
      </c>
      <c r="M228" s="186" t="str">
        <f t="shared" si="16"/>
        <v/>
      </c>
      <c r="N228" s="187" t="str">
        <f t="shared" si="17"/>
        <v/>
      </c>
      <c r="O228" s="188">
        <f t="shared" si="18"/>
        <v>553.57144431673044</v>
      </c>
      <c r="P228" s="188">
        <f t="shared" si="19"/>
        <v>620.90696302426556</v>
      </c>
      <c r="Q228" s="178" t="str">
        <f>IFERROR((VLOOKUP(A228,GM_Table,8,FALSE)-SUMIFS(D:D,A:A,A228,B:B,B228,C:C,C228)),"")</f>
        <v/>
      </c>
      <c r="R228" s="178" t="str">
        <f>IFERROR(CONCATENATE(VLOOKUP(A228,GM_Table,12,FALSE)," ",(VLOOKUP(A228,GM_Table,13,FALSE))),"")</f>
        <v/>
      </c>
      <c r="T228" s="203">
        <v>620.90696302426556</v>
      </c>
      <c r="U228" s="203">
        <v>0</v>
      </c>
      <c r="V228" s="204" t="s">
        <v>2597</v>
      </c>
      <c r="W228" s="203">
        <v>554.38121698595137</v>
      </c>
      <c r="X228" s="205">
        <v>-10.714285714285719</v>
      </c>
      <c r="Y228" s="204" t="s">
        <v>2597</v>
      </c>
      <c r="Z228" s="204" t="s">
        <v>2597</v>
      </c>
      <c r="AA228" s="204" t="s">
        <v>2597</v>
      </c>
      <c r="AB228" s="204" t="s">
        <v>2597</v>
      </c>
      <c r="AC228" s="204" t="s">
        <v>2597</v>
      </c>
    </row>
    <row r="229" spans="1:29" ht="15">
      <c r="A229" s="182" t="s">
        <v>1545</v>
      </c>
      <c r="B229" s="182" t="s">
        <v>1830</v>
      </c>
      <c r="C229" s="182"/>
      <c r="D229" s="183">
        <v>4.6231</v>
      </c>
      <c r="E229" s="183">
        <v>2238.4783908259137</v>
      </c>
      <c r="F229" s="183">
        <v>2878.5866695317645</v>
      </c>
      <c r="G229" s="184">
        <v>0</v>
      </c>
      <c r="H229" s="184">
        <v>0</v>
      </c>
      <c r="I229" s="184">
        <v>0</v>
      </c>
      <c r="J229" s="177" t="b">
        <f>IF(ISBLANK(CertifiedCrop[[#This Row],[1. Identifiant interne d’exploitation agricole*]]),"",IF(ISERROR(MATCH(CertifiedCrop[[#This Row],[1. Identifiant interne d’exploitation agricole*]],GroupMember[1. Identifiant interne d’exploitation agricole*],0)),FALSE,TRUE))</f>
        <v>1</v>
      </c>
      <c r="K229" s="177" t="b">
        <f t="array" ref="K229">IF(ISBLANK(CertifiedCrop[[#This Row],[2. Produit agricole certifié*]]),"",IF(ISERROR(MATCH(1,(#REF!=CertifiedCrop[[#This Row],[2. Produit agricole certifié*]])*(#REF!=CertifiedCrop[[#This Row],[3. Variété**]]),0)),FALSE,TRUE))</f>
        <v>0</v>
      </c>
      <c r="L229" s="185" t="str">
        <f t="shared" si="15"/>
        <v/>
      </c>
      <c r="M229" s="186" t="str">
        <f t="shared" si="16"/>
        <v/>
      </c>
      <c r="N229" s="187" t="str">
        <f t="shared" si="17"/>
        <v/>
      </c>
      <c r="O229" s="188">
        <f t="shared" si="18"/>
        <v>484.19423997445733</v>
      </c>
      <c r="P229" s="188">
        <f t="shared" si="19"/>
        <v>622.65291028352499</v>
      </c>
      <c r="Q229" s="178" t="str">
        <f>IFERROR((VLOOKUP(A229,GM_Table,8,FALSE)-SUMIFS(D:D,A:A,A229,B:B,B229,C:C,C229)),"")</f>
        <v/>
      </c>
      <c r="R229" s="178" t="str">
        <f>IFERROR(CONCATENATE(VLOOKUP(A229,GM_Table,12,FALSE)," ",(VLOOKUP(A229,GM_Table,13,FALSE))),"")</f>
        <v/>
      </c>
      <c r="T229" s="203">
        <v>622.65291028352499</v>
      </c>
      <c r="U229" s="203">
        <v>0</v>
      </c>
      <c r="V229" s="204" t="s">
        <v>2597</v>
      </c>
      <c r="W229" s="203">
        <v>555.94009846743302</v>
      </c>
      <c r="X229" s="205">
        <v>-10.714285714285715</v>
      </c>
      <c r="Y229" s="204" t="s">
        <v>2597</v>
      </c>
      <c r="Z229" s="204" t="s">
        <v>2597</v>
      </c>
      <c r="AA229" s="204" t="s">
        <v>2597</v>
      </c>
      <c r="AB229" s="204" t="s">
        <v>2597</v>
      </c>
      <c r="AC229" s="204" t="s">
        <v>2597</v>
      </c>
    </row>
    <row r="230" spans="1:29" ht="15">
      <c r="A230" s="182" t="s">
        <v>1548</v>
      </c>
      <c r="B230" s="182" t="s">
        <v>1830</v>
      </c>
      <c r="C230" s="182"/>
      <c r="D230" s="183">
        <v>1.2545999999999999</v>
      </c>
      <c r="E230" s="183">
        <v>607.4465153239081</v>
      </c>
      <c r="F230" s="183">
        <v>777.9099827602389</v>
      </c>
      <c r="G230" s="184">
        <v>0</v>
      </c>
      <c r="H230" s="184">
        <v>0</v>
      </c>
      <c r="I230" s="184">
        <v>0</v>
      </c>
      <c r="J230" s="177" t="b">
        <f>IF(ISBLANK(CertifiedCrop[[#This Row],[1. Identifiant interne d’exploitation agricole*]]),"",IF(ISERROR(MATCH(CertifiedCrop[[#This Row],[1. Identifiant interne d’exploitation agricole*]],GroupMember[1. Identifiant interne d’exploitation agricole*],0)),FALSE,TRUE))</f>
        <v>1</v>
      </c>
      <c r="K230" s="177" t="b">
        <f t="array" ref="K230">IF(ISBLANK(CertifiedCrop[[#This Row],[2. Produit agricole certifié*]]),"",IF(ISERROR(MATCH(1,(#REF!=CertifiedCrop[[#This Row],[2. Produit agricole certifié*]])*(#REF!=CertifiedCrop[[#This Row],[3. Variété**]]),0)),FALSE,TRUE))</f>
        <v>0</v>
      </c>
      <c r="L230" s="185" t="str">
        <f t="shared" si="15"/>
        <v/>
      </c>
      <c r="M230" s="186" t="str">
        <f t="shared" si="16"/>
        <v/>
      </c>
      <c r="N230" s="187" t="str">
        <f t="shared" si="17"/>
        <v/>
      </c>
      <c r="O230" s="188">
        <f t="shared" si="18"/>
        <v>484.17544661558117</v>
      </c>
      <c r="P230" s="188">
        <f t="shared" si="19"/>
        <v>620.04621613282234</v>
      </c>
      <c r="Q230" s="178" t="str">
        <f>IFERROR((VLOOKUP(A230,GM_Table,8,FALSE)-SUMIFS(D:D,A:A,A230,B:B,B230,C:C,C230)),"")</f>
        <v/>
      </c>
      <c r="R230" s="178" t="str">
        <f>IFERROR(CONCATENATE(VLOOKUP(A230,GM_Table,12,FALSE)," ",(VLOOKUP(A230,GM_Table,13,FALSE))),"")</f>
        <v/>
      </c>
      <c r="T230" s="203">
        <v>620.04621613282234</v>
      </c>
      <c r="U230" s="203">
        <v>0</v>
      </c>
      <c r="V230" s="204" t="s">
        <v>2597</v>
      </c>
      <c r="W230" s="203">
        <v>553.61269297573426</v>
      </c>
      <c r="X230" s="205">
        <v>-10.71428571428571</v>
      </c>
      <c r="Y230" s="204" t="s">
        <v>2597</v>
      </c>
      <c r="Z230" s="204" t="s">
        <v>2597</v>
      </c>
      <c r="AA230" s="204" t="s">
        <v>2597</v>
      </c>
      <c r="AB230" s="204" t="s">
        <v>2597</v>
      </c>
      <c r="AC230" s="204" t="s">
        <v>2597</v>
      </c>
    </row>
    <row r="231" spans="1:29" ht="15">
      <c r="A231" s="182" t="s">
        <v>1551</v>
      </c>
      <c r="B231" s="182" t="s">
        <v>1830</v>
      </c>
      <c r="C231" s="182"/>
      <c r="D231" s="183">
        <v>0.95309999999999995</v>
      </c>
      <c r="E231" s="183">
        <v>527.87077414655164</v>
      </c>
      <c r="F231" s="183">
        <v>590.74367700088271</v>
      </c>
      <c r="G231" s="184">
        <v>0</v>
      </c>
      <c r="H231" s="184">
        <v>0</v>
      </c>
      <c r="I231" s="184">
        <v>0</v>
      </c>
      <c r="J231" s="177" t="b">
        <f>IF(ISBLANK(CertifiedCrop[[#This Row],[1. Identifiant interne d’exploitation agricole*]]),"",IF(ISERROR(MATCH(CertifiedCrop[[#This Row],[1. Identifiant interne d’exploitation agricole*]],GroupMember[1. Identifiant interne d’exploitation agricole*],0)),FALSE,TRUE))</f>
        <v>1</v>
      </c>
      <c r="K231" s="177" t="b">
        <f t="array" ref="K231">IF(ISBLANK(CertifiedCrop[[#This Row],[2. Produit agricole certifié*]]),"",IF(ISERROR(MATCH(1,(#REF!=CertifiedCrop[[#This Row],[2. Produit agricole certifié*]])*(#REF!=CertifiedCrop[[#This Row],[3. Variété**]]),0)),FALSE,TRUE))</f>
        <v>0</v>
      </c>
      <c r="L231" s="185" t="str">
        <f t="shared" si="15"/>
        <v/>
      </c>
      <c r="M231" s="186" t="str">
        <f t="shared" si="16"/>
        <v/>
      </c>
      <c r="N231" s="187" t="str">
        <f t="shared" si="17"/>
        <v/>
      </c>
      <c r="O231" s="188">
        <f t="shared" si="18"/>
        <v>553.8461590038313</v>
      </c>
      <c r="P231" s="188">
        <f t="shared" si="19"/>
        <v>619.812902109834</v>
      </c>
      <c r="Q231" s="178" t="str">
        <f>IFERROR((VLOOKUP(A231,GM_Table,8,FALSE)-SUMIFS(D:D,A:A,A231,B:B,B231,C:C,C231)),"")</f>
        <v/>
      </c>
      <c r="R231" s="178" t="str">
        <f>IFERROR(CONCATENATE(VLOOKUP(A231,GM_Table,12,FALSE)," ",(VLOOKUP(A231,GM_Table,13,FALSE))),"")</f>
        <v/>
      </c>
      <c r="T231" s="203">
        <v>619.812902109834</v>
      </c>
      <c r="U231" s="203">
        <v>0</v>
      </c>
      <c r="V231" s="204" t="s">
        <v>2597</v>
      </c>
      <c r="W231" s="203">
        <v>553.4043768837804</v>
      </c>
      <c r="X231" s="205">
        <v>-10.714285714285706</v>
      </c>
      <c r="Y231" s="204" t="s">
        <v>2597</v>
      </c>
      <c r="Z231" s="204" t="s">
        <v>2597</v>
      </c>
      <c r="AA231" s="204" t="s">
        <v>2597</v>
      </c>
      <c r="AB231" s="204" t="s">
        <v>2597</v>
      </c>
      <c r="AC231" s="204" t="s">
        <v>2597</v>
      </c>
    </row>
    <row r="232" spans="1:29" ht="15">
      <c r="A232" s="182" t="s">
        <v>1554</v>
      </c>
      <c r="B232" s="182" t="s">
        <v>1830</v>
      </c>
      <c r="C232" s="182"/>
      <c r="D232" s="183">
        <v>1.8887</v>
      </c>
      <c r="E232" s="183">
        <v>1045.6356974642658</v>
      </c>
      <c r="F232" s="183">
        <v>1172.0080633015646</v>
      </c>
      <c r="G232" s="184">
        <v>0</v>
      </c>
      <c r="H232" s="184">
        <v>0</v>
      </c>
      <c r="I232" s="184">
        <v>0</v>
      </c>
      <c r="J232" s="177" t="b">
        <f>IF(ISBLANK(CertifiedCrop[[#This Row],[1. Identifiant interne d’exploitation agricole*]]),"",IF(ISERROR(MATCH(CertifiedCrop[[#This Row],[1. Identifiant interne d’exploitation agricole*]],GroupMember[1. Identifiant interne d’exploitation agricole*],0)),FALSE,TRUE))</f>
        <v>1</v>
      </c>
      <c r="K232" s="177" t="b">
        <f t="array" ref="K232">IF(ISBLANK(CertifiedCrop[[#This Row],[2. Produit agricole certifié*]]),"",IF(ISERROR(MATCH(1,(#REF!=CertifiedCrop[[#This Row],[2. Produit agricole certifié*]])*(#REF!=CertifiedCrop[[#This Row],[3. Variété**]]),0)),FALSE,TRUE))</f>
        <v>0</v>
      </c>
      <c r="L232" s="185" t="str">
        <f t="shared" si="15"/>
        <v/>
      </c>
      <c r="M232" s="186" t="str">
        <f t="shared" si="16"/>
        <v/>
      </c>
      <c r="N232" s="187" t="str">
        <f t="shared" si="17"/>
        <v/>
      </c>
      <c r="O232" s="188">
        <f t="shared" si="18"/>
        <v>553.62720255427848</v>
      </c>
      <c r="P232" s="188">
        <f t="shared" si="19"/>
        <v>620.53691073307812</v>
      </c>
      <c r="Q232" s="178" t="str">
        <f>IFERROR((VLOOKUP(A232,GM_Table,8,FALSE)-SUMIFS(D:D,A:A,A232,B:B,B232,C:C,C232)),"")</f>
        <v/>
      </c>
      <c r="R232" s="178" t="str">
        <f>IFERROR(CONCATENATE(VLOOKUP(A232,GM_Table,12,FALSE)," ",(VLOOKUP(A232,GM_Table,13,FALSE))),"")</f>
        <v/>
      </c>
      <c r="T232" s="203">
        <v>620.53691073307812</v>
      </c>
      <c r="U232" s="203">
        <v>0</v>
      </c>
      <c r="V232" s="204" t="s">
        <v>2597</v>
      </c>
      <c r="W232" s="203">
        <v>554.0508131545339</v>
      </c>
      <c r="X232" s="205">
        <v>-10.714285714285737</v>
      </c>
      <c r="Y232" s="204" t="s">
        <v>2597</v>
      </c>
      <c r="Z232" s="204" t="s">
        <v>2597</v>
      </c>
      <c r="AA232" s="204" t="s">
        <v>2597</v>
      </c>
      <c r="AB232" s="204" t="s">
        <v>2597</v>
      </c>
      <c r="AC232" s="204" t="s">
        <v>2597</v>
      </c>
    </row>
    <row r="233" spans="1:29" ht="15">
      <c r="A233" s="182" t="s">
        <v>1558</v>
      </c>
      <c r="B233" s="182" t="s">
        <v>1830</v>
      </c>
      <c r="C233" s="182"/>
      <c r="D233" s="183">
        <v>4.0171999999999999</v>
      </c>
      <c r="E233" s="183">
        <v>2223.1413364827586</v>
      </c>
      <c r="F233" s="183">
        <v>2499.437717812737</v>
      </c>
      <c r="G233" s="184">
        <v>0</v>
      </c>
      <c r="H233" s="184">
        <v>0</v>
      </c>
      <c r="I233" s="184">
        <v>0</v>
      </c>
      <c r="J233" s="177" t="b">
        <f>IF(ISBLANK(CertifiedCrop[[#This Row],[1. Identifiant interne d’exploitation agricole*]]),"",IF(ISERROR(MATCH(CertifiedCrop[[#This Row],[1. Identifiant interne d’exploitation agricole*]],GroupMember[1. Identifiant interne d’exploitation agricole*],0)),FALSE,TRUE))</f>
        <v>1</v>
      </c>
      <c r="K233" s="177" t="b">
        <f t="array" ref="K233">IF(ISBLANK(CertifiedCrop[[#This Row],[2. Produit agricole certifié*]]),"",IF(ISERROR(MATCH(1,(#REF!=CertifiedCrop[[#This Row],[2. Produit agricole certifié*]])*(#REF!=CertifiedCrop[[#This Row],[3. Variété**]]),0)),FALSE,TRUE))</f>
        <v>0</v>
      </c>
      <c r="L233" s="185" t="str">
        <f t="shared" si="15"/>
        <v/>
      </c>
      <c r="M233" s="186" t="str">
        <f t="shared" si="16"/>
        <v/>
      </c>
      <c r="N233" s="187" t="str">
        <f t="shared" si="17"/>
        <v/>
      </c>
      <c r="O233" s="188">
        <f t="shared" si="18"/>
        <v>553.40568965517241</v>
      </c>
      <c r="P233" s="188">
        <f t="shared" si="19"/>
        <v>622.18403808939979</v>
      </c>
      <c r="Q233" s="178" t="str">
        <f>IFERROR((VLOOKUP(A233,GM_Table,8,FALSE)-SUMIFS(D:D,A:A,A233,B:B,B233,C:C,C233)),"")</f>
        <v/>
      </c>
      <c r="R233" s="178" t="str">
        <f>IFERROR(CONCATENATE(VLOOKUP(A233,GM_Table,12,FALSE)," ",(VLOOKUP(A233,GM_Table,13,FALSE))),"")</f>
        <v/>
      </c>
      <c r="T233" s="203">
        <v>622.18403808939979</v>
      </c>
      <c r="U233" s="203">
        <v>0</v>
      </c>
      <c r="V233" s="204" t="s">
        <v>2597</v>
      </c>
      <c r="W233" s="203">
        <v>555.52146257982122</v>
      </c>
      <c r="X233" s="205">
        <v>-10.714285714285717</v>
      </c>
      <c r="Y233" s="204" t="s">
        <v>2597</v>
      </c>
      <c r="Z233" s="204" t="s">
        <v>2597</v>
      </c>
      <c r="AA233" s="204" t="s">
        <v>2597</v>
      </c>
      <c r="AB233" s="204" t="s">
        <v>2597</v>
      </c>
      <c r="AC233" s="204" t="s">
        <v>2597</v>
      </c>
    </row>
    <row r="234" spans="1:29" ht="15">
      <c r="A234" s="182" t="s">
        <v>1562</v>
      </c>
      <c r="B234" s="182" t="s">
        <v>1830</v>
      </c>
      <c r="C234" s="182"/>
      <c r="D234" s="183">
        <v>3.6019000000000001</v>
      </c>
      <c r="E234" s="183">
        <v>1994.6209935120055</v>
      </c>
      <c r="F234" s="183">
        <v>2239.8871172068593</v>
      </c>
      <c r="G234" s="184">
        <v>0</v>
      </c>
      <c r="H234" s="184">
        <v>0</v>
      </c>
      <c r="I234" s="184">
        <v>0</v>
      </c>
      <c r="J234" s="177" t="b">
        <f>IF(ISBLANK(CertifiedCrop[[#This Row],[1. Identifiant interne d’exploitation agricole*]]),"",IF(ISERROR(MATCH(CertifiedCrop[[#This Row],[1. Identifiant interne d’exploitation agricole*]],GroupMember[1. Identifiant interne d’exploitation agricole*],0)),FALSE,TRUE))</f>
        <v>1</v>
      </c>
      <c r="K234" s="177" t="b">
        <f t="array" ref="K234">IF(ISBLANK(CertifiedCrop[[#This Row],[2. Produit agricole certifié*]]),"",IF(ISERROR(MATCH(1,(#REF!=CertifiedCrop[[#This Row],[2. Produit agricole certifié*]])*(#REF!=CertifiedCrop[[#This Row],[3. Variété**]]),0)),FALSE,TRUE))</f>
        <v>0</v>
      </c>
      <c r="L234" s="185" t="str">
        <f t="shared" si="15"/>
        <v/>
      </c>
      <c r="M234" s="186" t="str">
        <f t="shared" si="16"/>
        <v/>
      </c>
      <c r="N234" s="187" t="str">
        <f t="shared" si="17"/>
        <v/>
      </c>
      <c r="O234" s="188">
        <f t="shared" si="18"/>
        <v>553.76912005108568</v>
      </c>
      <c r="P234" s="188">
        <f t="shared" si="19"/>
        <v>621.86266059770105</v>
      </c>
      <c r="Q234" s="178" t="str">
        <f>IFERROR((VLOOKUP(A234,GM_Table,8,FALSE)-SUMIFS(D:D,A:A,A234,B:B,B234,C:C,C234)),"")</f>
        <v/>
      </c>
      <c r="R234" s="178" t="str">
        <f>IFERROR(CONCATENATE(VLOOKUP(A234,GM_Table,12,FALSE)," ",(VLOOKUP(A234,GM_Table,13,FALSE))),"")</f>
        <v/>
      </c>
      <c r="T234" s="203">
        <v>621.86266059770105</v>
      </c>
      <c r="U234" s="203">
        <v>0</v>
      </c>
      <c r="V234" s="204" t="s">
        <v>2597</v>
      </c>
      <c r="W234" s="203">
        <v>555.23451839080451</v>
      </c>
      <c r="X234" s="205">
        <v>-10.714285714285714</v>
      </c>
      <c r="Y234" s="204" t="s">
        <v>2597</v>
      </c>
      <c r="Z234" s="204" t="s">
        <v>2597</v>
      </c>
      <c r="AA234" s="204" t="s">
        <v>2597</v>
      </c>
      <c r="AB234" s="204" t="s">
        <v>2597</v>
      </c>
      <c r="AC234" s="204" t="s">
        <v>2597</v>
      </c>
    </row>
    <row r="235" spans="1:29" ht="15">
      <c r="A235" s="182" t="s">
        <v>1567</v>
      </c>
      <c r="B235" s="182" t="s">
        <v>1830</v>
      </c>
      <c r="C235" s="182"/>
      <c r="D235" s="183">
        <v>1.4197</v>
      </c>
      <c r="E235" s="183">
        <v>687.55308967412509</v>
      </c>
      <c r="F235" s="183">
        <v>880.46099629462674</v>
      </c>
      <c r="G235" s="184">
        <v>0</v>
      </c>
      <c r="H235" s="184">
        <v>0</v>
      </c>
      <c r="I235" s="184">
        <v>0</v>
      </c>
      <c r="J235" s="177" t="b">
        <f>IF(ISBLANK(CertifiedCrop[[#This Row],[1. Identifiant interne d’exploitation agricole*]]),"",IF(ISERROR(MATCH(CertifiedCrop[[#This Row],[1. Identifiant interne d’exploitation agricole*]],GroupMember[1. Identifiant interne d’exploitation agricole*],0)),FALSE,TRUE))</f>
        <v>1</v>
      </c>
      <c r="K235" s="177" t="b">
        <f t="array" ref="K235">IF(ISBLANK(CertifiedCrop[[#This Row],[2. Produit agricole certifié*]]),"",IF(ISERROR(MATCH(1,(#REF!=CertifiedCrop[[#This Row],[2. Produit agricole certifié*]])*(#REF!=CertifiedCrop[[#This Row],[3. Variété**]]),0)),FALSE,TRUE))</f>
        <v>0</v>
      </c>
      <c r="L235" s="185" t="str">
        <f t="shared" si="15"/>
        <v/>
      </c>
      <c r="M235" s="186" t="str">
        <f t="shared" si="16"/>
        <v/>
      </c>
      <c r="N235" s="187" t="str">
        <f t="shared" si="17"/>
        <v/>
      </c>
      <c r="O235" s="188">
        <f t="shared" si="18"/>
        <v>484.29463243933583</v>
      </c>
      <c r="P235" s="188">
        <f t="shared" si="19"/>
        <v>620.17397780842907</v>
      </c>
      <c r="Q235" s="178" t="str">
        <f>IFERROR((VLOOKUP(A235,GM_Table,8,FALSE)-SUMIFS(D:D,A:A,A235,B:B,B235,C:C,C235)),"")</f>
        <v/>
      </c>
      <c r="R235" s="178" t="str">
        <f>IFERROR(CONCATENATE(VLOOKUP(A235,GM_Table,12,FALSE)," ",(VLOOKUP(A235,GM_Table,13,FALSE))),"")</f>
        <v/>
      </c>
      <c r="T235" s="203">
        <v>620.17397780842907</v>
      </c>
      <c r="U235" s="203">
        <v>0</v>
      </c>
      <c r="V235" s="204" t="s">
        <v>2597</v>
      </c>
      <c r="W235" s="203">
        <v>553.72676590038316</v>
      </c>
      <c r="X235" s="205">
        <v>-10.714285714285705</v>
      </c>
      <c r="Y235" s="204" t="s">
        <v>2597</v>
      </c>
      <c r="Z235" s="204" t="s">
        <v>2597</v>
      </c>
      <c r="AA235" s="204" t="s">
        <v>2597</v>
      </c>
      <c r="AB235" s="204" t="s">
        <v>2597</v>
      </c>
      <c r="AC235" s="204" t="s">
        <v>2597</v>
      </c>
    </row>
    <row r="236" spans="1:29" ht="15">
      <c r="A236" s="182" t="s">
        <v>1570</v>
      </c>
      <c r="B236" s="182" t="s">
        <v>1830</v>
      </c>
      <c r="C236" s="182"/>
      <c r="D236" s="183">
        <v>1.5289999999999999</v>
      </c>
      <c r="E236" s="183">
        <v>846.91053799744566</v>
      </c>
      <c r="F236" s="183">
        <v>948.37533667780326</v>
      </c>
      <c r="G236" s="184">
        <v>0</v>
      </c>
      <c r="H236" s="184">
        <v>0</v>
      </c>
      <c r="I236" s="184">
        <v>0</v>
      </c>
      <c r="J236" s="177" t="b">
        <f>IF(ISBLANK(CertifiedCrop[[#This Row],[1. Identifiant interne d’exploitation agricole*]]),"",IF(ISERROR(MATCH(CertifiedCrop[[#This Row],[1. Identifiant interne d’exploitation agricole*]],GroupMember[1. Identifiant interne d’exploitation agricole*],0)),FALSE,TRUE))</f>
        <v>1</v>
      </c>
      <c r="K236" s="177" t="b">
        <f t="array" ref="K236">IF(ISBLANK(CertifiedCrop[[#This Row],[2. Produit agricole certifié*]]),"",IF(ISERROR(MATCH(1,(#REF!=CertifiedCrop[[#This Row],[2. Produit agricole certifié*]])*(#REF!=CertifiedCrop[[#This Row],[3. Variété**]]),0)),FALSE,TRUE))</f>
        <v>0</v>
      </c>
      <c r="L236" s="185" t="str">
        <f t="shared" si="15"/>
        <v/>
      </c>
      <c r="M236" s="186" t="str">
        <f t="shared" si="16"/>
        <v/>
      </c>
      <c r="N236" s="187" t="str">
        <f t="shared" si="17"/>
        <v/>
      </c>
      <c r="O236" s="188">
        <f t="shared" si="18"/>
        <v>553.89832439335885</v>
      </c>
      <c r="P236" s="188">
        <f t="shared" si="19"/>
        <v>620.25855897828865</v>
      </c>
      <c r="Q236" s="178" t="str">
        <f>IFERROR((VLOOKUP(A236,GM_Table,8,FALSE)-SUMIFS(D:D,A:A,A236,B:B,B236,C:C,C236)),"")</f>
        <v/>
      </c>
      <c r="R236" s="178" t="str">
        <f>IFERROR(CONCATENATE(VLOOKUP(A236,GM_Table,12,FALSE)," ",(VLOOKUP(A236,GM_Table,13,FALSE))),"")</f>
        <v/>
      </c>
      <c r="T236" s="203">
        <v>620.25855897828865</v>
      </c>
      <c r="U236" s="203">
        <v>0</v>
      </c>
      <c r="V236" s="204" t="s">
        <v>2597</v>
      </c>
      <c r="W236" s="203">
        <v>553.80228480204346</v>
      </c>
      <c r="X236" s="205">
        <v>-10.714285714285712</v>
      </c>
      <c r="Y236" s="204" t="s">
        <v>2597</v>
      </c>
      <c r="Z236" s="204" t="s">
        <v>2597</v>
      </c>
      <c r="AA236" s="204" t="s">
        <v>2597</v>
      </c>
      <c r="AB236" s="204" t="s">
        <v>2597</v>
      </c>
      <c r="AC236" s="204" t="s">
        <v>2597</v>
      </c>
    </row>
    <row r="237" spans="1:29" ht="15">
      <c r="A237" s="182" t="s">
        <v>1573</v>
      </c>
      <c r="B237" s="182" t="s">
        <v>1830</v>
      </c>
      <c r="C237" s="182"/>
      <c r="D237" s="183">
        <v>2.0562</v>
      </c>
      <c r="E237" s="183">
        <v>995.80420804022981</v>
      </c>
      <c r="F237" s="183">
        <v>1276.2145182349484</v>
      </c>
      <c r="G237" s="184">
        <v>0</v>
      </c>
      <c r="H237" s="184">
        <v>0</v>
      </c>
      <c r="I237" s="184">
        <v>0</v>
      </c>
      <c r="J237" s="177" t="b">
        <f>IF(ISBLANK(CertifiedCrop[[#This Row],[1. Identifiant interne d’exploitation agricole*]]),"",IF(ISERROR(MATCH(CertifiedCrop[[#This Row],[1. Identifiant interne d’exploitation agricole*]],GroupMember[1. Identifiant interne d’exploitation agricole*],0)),FALSE,TRUE))</f>
        <v>1</v>
      </c>
      <c r="K237" s="177" t="b">
        <f t="array" ref="K237">IF(ISBLANK(CertifiedCrop[[#This Row],[2. Produit agricole certifié*]]),"",IF(ISERROR(MATCH(1,(#REF!=CertifiedCrop[[#This Row],[2. Produit agricole certifié*]])*(#REF!=CertifiedCrop[[#This Row],[3. Variété**]]),0)),FALSE,TRUE))</f>
        <v>0</v>
      </c>
      <c r="L237" s="185" t="str">
        <f t="shared" si="15"/>
        <v/>
      </c>
      <c r="M237" s="186" t="str">
        <f t="shared" si="16"/>
        <v/>
      </c>
      <c r="N237" s="187" t="str">
        <f t="shared" si="17"/>
        <v/>
      </c>
      <c r="O237" s="188">
        <f t="shared" si="18"/>
        <v>484.29345785440609</v>
      </c>
      <c r="P237" s="188">
        <f t="shared" si="19"/>
        <v>620.66652963473803</v>
      </c>
      <c r="Q237" s="178" t="str">
        <f>IFERROR((VLOOKUP(A237,GM_Table,8,FALSE)-SUMIFS(D:D,A:A,A237,B:B,B237,C:C,C237)),"")</f>
        <v/>
      </c>
      <c r="R237" s="178" t="str">
        <f>IFERROR(CONCATENATE(VLOOKUP(A237,GM_Table,12,FALSE)," ",(VLOOKUP(A237,GM_Table,13,FALSE))),"")</f>
        <v/>
      </c>
      <c r="T237" s="203">
        <v>620.66652963473803</v>
      </c>
      <c r="U237" s="203">
        <v>0</v>
      </c>
      <c r="V237" s="204" t="s">
        <v>2597</v>
      </c>
      <c r="W237" s="203">
        <v>554.16654431673044</v>
      </c>
      <c r="X237" s="205">
        <v>-10.714285714285705</v>
      </c>
      <c r="Y237" s="204" t="s">
        <v>2597</v>
      </c>
      <c r="Z237" s="204" t="s">
        <v>2597</v>
      </c>
      <c r="AA237" s="204" t="s">
        <v>2597</v>
      </c>
      <c r="AB237" s="204" t="s">
        <v>2597</v>
      </c>
      <c r="AC237" s="204" t="s">
        <v>2597</v>
      </c>
    </row>
    <row r="238" spans="1:29" ht="15">
      <c r="A238" s="182" t="s">
        <v>1578</v>
      </c>
      <c r="B238" s="182" t="s">
        <v>1830</v>
      </c>
      <c r="C238" s="182"/>
      <c r="D238" s="183">
        <v>2.8653</v>
      </c>
      <c r="E238" s="183">
        <v>1586.3727605959004</v>
      </c>
      <c r="F238" s="183">
        <v>1780.1898213576146</v>
      </c>
      <c r="G238" s="184">
        <v>0</v>
      </c>
      <c r="H238" s="184">
        <v>0</v>
      </c>
      <c r="I238" s="184">
        <v>0</v>
      </c>
      <c r="J238" s="177" t="b">
        <f>IF(ISBLANK(CertifiedCrop[[#This Row],[1. Identifiant interne d’exploitation agricole*]]),"",IF(ISERROR(MATCH(CertifiedCrop[[#This Row],[1. Identifiant interne d’exploitation agricole*]],GroupMember[1. Identifiant interne d’exploitation agricole*],0)),FALSE,TRUE))</f>
        <v>1</v>
      </c>
      <c r="K238" s="177" t="b">
        <f t="array" ref="K238">IF(ISBLANK(CertifiedCrop[[#This Row],[2. Produit agricole certifié*]]),"",IF(ISERROR(MATCH(1,(#REF!=CertifiedCrop[[#This Row],[2. Produit agricole certifié*]])*(#REF!=CertifiedCrop[[#This Row],[3. Variété**]]),0)),FALSE,TRUE))</f>
        <v>0</v>
      </c>
      <c r="L238" s="185" t="str">
        <f t="shared" si="15"/>
        <v/>
      </c>
      <c r="M238" s="186" t="str">
        <f t="shared" si="16"/>
        <v/>
      </c>
      <c r="N238" s="187" t="str">
        <f t="shared" si="17"/>
        <v/>
      </c>
      <c r="O238" s="188">
        <f t="shared" si="18"/>
        <v>553.64979604086852</v>
      </c>
      <c r="P238" s="188">
        <f t="shared" si="19"/>
        <v>621.29264696807127</v>
      </c>
      <c r="Q238" s="178" t="str">
        <f>IFERROR((VLOOKUP(A238,GM_Table,8,FALSE)-SUMIFS(D:D,A:A,A238,B:B,B238,C:C,C238)),"")</f>
        <v/>
      </c>
      <c r="R238" s="178" t="str">
        <f>IFERROR(CONCATENATE(VLOOKUP(A238,GM_Table,12,FALSE)," ",(VLOOKUP(A238,GM_Table,13,FALSE))),"")</f>
        <v/>
      </c>
      <c r="T238" s="203">
        <v>621.29264696807127</v>
      </c>
      <c r="U238" s="203">
        <v>0</v>
      </c>
      <c r="V238" s="204" t="s">
        <v>2597</v>
      </c>
      <c r="W238" s="203">
        <v>554.72557765006366</v>
      </c>
      <c r="X238" s="205">
        <v>-10.714285714285712</v>
      </c>
      <c r="Y238" s="204" t="s">
        <v>2597</v>
      </c>
      <c r="Z238" s="204" t="s">
        <v>2597</v>
      </c>
      <c r="AA238" s="204" t="s">
        <v>2597</v>
      </c>
      <c r="AB238" s="204" t="s">
        <v>2597</v>
      </c>
      <c r="AC238" s="204" t="s">
        <v>2597</v>
      </c>
    </row>
    <row r="239" spans="1:29" ht="15">
      <c r="A239" s="182" t="s">
        <v>1583</v>
      </c>
      <c r="B239" s="182" t="s">
        <v>1830</v>
      </c>
      <c r="C239" s="182"/>
      <c r="D239" s="183">
        <v>1.6416999999999999</v>
      </c>
      <c r="E239" s="183">
        <v>823.28</v>
      </c>
      <c r="F239" s="183">
        <v>918.4</v>
      </c>
      <c r="G239" s="184">
        <v>0</v>
      </c>
      <c r="H239" s="184">
        <v>0</v>
      </c>
      <c r="I239" s="184">
        <v>0</v>
      </c>
      <c r="J239" s="177" t="b">
        <f>IF(ISBLANK(CertifiedCrop[[#This Row],[1. Identifiant interne d’exploitation agricole*]]),"",IF(ISERROR(MATCH(CertifiedCrop[[#This Row],[1. Identifiant interne d’exploitation agricole*]],GroupMember[1. Identifiant interne d’exploitation agricole*],0)),FALSE,TRUE))</f>
        <v>1</v>
      </c>
      <c r="K239" s="177" t="b">
        <f t="array" ref="K239">IF(ISBLANK(CertifiedCrop[[#This Row],[2. Produit agricole certifié*]]),"",IF(ISERROR(MATCH(1,(#REF!=CertifiedCrop[[#This Row],[2. Produit agricole certifié*]])*(#REF!=CertifiedCrop[[#This Row],[3. Variété**]]),0)),FALSE,TRUE))</f>
        <v>0</v>
      </c>
      <c r="L239" s="185" t="str">
        <f t="shared" si="15"/>
        <v/>
      </c>
      <c r="M239" s="186" t="str">
        <f t="shared" si="16"/>
        <v/>
      </c>
      <c r="N239" s="187" t="str">
        <f t="shared" si="17"/>
        <v/>
      </c>
      <c r="O239" s="188">
        <f t="shared" si="18"/>
        <v>501.48017299141134</v>
      </c>
      <c r="P239" s="188">
        <f t="shared" si="19"/>
        <v>559.42011329719196</v>
      </c>
      <c r="Q239" s="178" t="str">
        <f>IFERROR((VLOOKUP(A239,GM_Table,8,FALSE)-SUMIFS(D:D,A:A,A239,B:B,B239,C:C,C239)),"")</f>
        <v/>
      </c>
      <c r="R239" s="178" t="str">
        <f>IFERROR(CONCATENATE(VLOOKUP(A239,GM_Table,12,FALSE)," ",(VLOOKUP(A239,GM_Table,13,FALSE))),"")</f>
        <v/>
      </c>
      <c r="T239" s="203">
        <v>620.34577121839084</v>
      </c>
      <c r="U239" s="203">
        <v>0</v>
      </c>
      <c r="V239" s="204" t="s">
        <v>2597</v>
      </c>
      <c r="W239" s="203">
        <v>553.88015287356325</v>
      </c>
      <c r="X239" s="205">
        <v>-10.714285714285714</v>
      </c>
      <c r="Y239" s="204" t="s">
        <v>2597</v>
      </c>
      <c r="Z239" s="204" t="s">
        <v>2597</v>
      </c>
      <c r="AA239" s="204" t="s">
        <v>2597</v>
      </c>
      <c r="AB239" s="204" t="s">
        <v>2597</v>
      </c>
      <c r="AC239" s="204" t="s">
        <v>2597</v>
      </c>
    </row>
    <row r="240" spans="1:29" ht="15">
      <c r="A240" s="182" t="s">
        <v>1587</v>
      </c>
      <c r="B240" s="182" t="s">
        <v>1830</v>
      </c>
      <c r="C240" s="182"/>
      <c r="D240" s="183">
        <v>3.2936000000000001</v>
      </c>
      <c r="E240" s="183">
        <v>1782.68</v>
      </c>
      <c r="F240" s="183">
        <v>1980.18</v>
      </c>
      <c r="G240" s="184">
        <v>0</v>
      </c>
      <c r="H240" s="184">
        <v>0</v>
      </c>
      <c r="I240" s="184">
        <v>0</v>
      </c>
      <c r="J240" s="177" t="b">
        <f>IF(ISBLANK(CertifiedCrop[[#This Row],[1. Identifiant interne d’exploitation agricole*]]),"",IF(ISERROR(MATCH(CertifiedCrop[[#This Row],[1. Identifiant interne d’exploitation agricole*]],GroupMember[1. Identifiant interne d’exploitation agricole*],0)),FALSE,TRUE))</f>
        <v>1</v>
      </c>
      <c r="K240" s="177" t="b">
        <f t="array" ref="K240">IF(ISBLANK(CertifiedCrop[[#This Row],[2. Produit agricole certifié*]]),"",IF(ISERROR(MATCH(1,(#REF!=CertifiedCrop[[#This Row],[2. Produit agricole certifié*]])*(#REF!=CertifiedCrop[[#This Row],[3. Variété**]]),0)),FALSE,TRUE))</f>
        <v>0</v>
      </c>
      <c r="L240" s="185" t="str">
        <f t="shared" si="15"/>
        <v/>
      </c>
      <c r="M240" s="186" t="str">
        <f t="shared" si="16"/>
        <v/>
      </c>
      <c r="N240" s="187" t="str">
        <f t="shared" si="17"/>
        <v/>
      </c>
      <c r="O240" s="188">
        <f t="shared" si="18"/>
        <v>541.2557687636629</v>
      </c>
      <c r="P240" s="188">
        <f t="shared" si="19"/>
        <v>601.22054894340545</v>
      </c>
      <c r="Q240" s="178" t="str">
        <f>IFERROR((VLOOKUP(A240,GM_Table,8,FALSE)-SUMIFS(D:D,A:A,A240,B:B,B240,C:C,C240)),"")</f>
        <v/>
      </c>
      <c r="R240" s="178" t="str">
        <f>IFERROR(CONCATENATE(VLOOKUP(A240,GM_Table,12,FALSE)," ",(VLOOKUP(A240,GM_Table,13,FALSE))),"")</f>
        <v/>
      </c>
      <c r="T240" s="203">
        <v>621.62408443422737</v>
      </c>
      <c r="U240" s="203">
        <v>0</v>
      </c>
      <c r="V240" s="204" t="s">
        <v>2597</v>
      </c>
      <c r="W240" s="203">
        <v>555.02150395913156</v>
      </c>
      <c r="X240" s="205">
        <v>-10.714285714285717</v>
      </c>
      <c r="Y240" s="204" t="s">
        <v>2597</v>
      </c>
      <c r="Z240" s="204" t="s">
        <v>2597</v>
      </c>
      <c r="AA240" s="204" t="s">
        <v>2597</v>
      </c>
      <c r="AB240" s="204" t="s">
        <v>2597</v>
      </c>
      <c r="AC240" s="204" t="s">
        <v>2597</v>
      </c>
    </row>
    <row r="241" spans="1:29" ht="15">
      <c r="A241" s="182" t="s">
        <v>1590</v>
      </c>
      <c r="B241" s="182" t="s">
        <v>1830</v>
      </c>
      <c r="C241" s="182"/>
      <c r="D241" s="183">
        <v>4.3456999999999999</v>
      </c>
      <c r="E241" s="183">
        <v>2373.1</v>
      </c>
      <c r="F241" s="183">
        <v>2634.1</v>
      </c>
      <c r="G241" s="184">
        <v>0</v>
      </c>
      <c r="H241" s="184">
        <v>0</v>
      </c>
      <c r="I241" s="184">
        <v>0</v>
      </c>
      <c r="J241" s="177" t="b">
        <f>IF(ISBLANK(CertifiedCrop[[#This Row],[1. Identifiant interne d’exploitation agricole*]]),"",IF(ISERROR(MATCH(CertifiedCrop[[#This Row],[1. Identifiant interne d’exploitation agricole*]],GroupMember[1. Identifiant interne d’exploitation agricole*],0)),FALSE,TRUE))</f>
        <v>1</v>
      </c>
      <c r="K241" s="177" t="b">
        <f t="array" ref="K241">IF(ISBLANK(CertifiedCrop[[#This Row],[2. Produit agricole certifié*]]),"",IF(ISERROR(MATCH(1,(#REF!=CertifiedCrop[[#This Row],[2. Produit agricole certifié*]])*(#REF!=CertifiedCrop[[#This Row],[3. Variété**]]),0)),FALSE,TRUE))</f>
        <v>0</v>
      </c>
      <c r="L241" s="185" t="str">
        <f t="shared" si="15"/>
        <v/>
      </c>
      <c r="M241" s="186" t="str">
        <f t="shared" si="16"/>
        <v/>
      </c>
      <c r="N241" s="187" t="str">
        <f t="shared" si="17"/>
        <v/>
      </c>
      <c r="O241" s="188">
        <f t="shared" si="18"/>
        <v>546.08003313620361</v>
      </c>
      <c r="P241" s="188">
        <f t="shared" si="19"/>
        <v>606.13940216766002</v>
      </c>
      <c r="Q241" s="178" t="str">
        <f>IFERROR((VLOOKUP(A241,GM_Table,8,FALSE)-SUMIFS(D:D,A:A,A241,B:B,B241,C:C,C241)),"")</f>
        <v/>
      </c>
      <c r="R241" s="178" t="str">
        <f>IFERROR(CONCATENATE(VLOOKUP(A241,GM_Table,12,FALSE)," ",(VLOOKUP(A241,GM_Table,13,FALSE))),"")</f>
        <v/>
      </c>
      <c r="T241" s="203">
        <v>622.43824590549161</v>
      </c>
      <c r="U241" s="203">
        <v>0</v>
      </c>
      <c r="V241" s="204" t="s">
        <v>2597</v>
      </c>
      <c r="W241" s="203">
        <v>555.74843384418898</v>
      </c>
      <c r="X241" s="205">
        <v>-10.714285714285708</v>
      </c>
      <c r="Y241" s="204" t="s">
        <v>2597</v>
      </c>
      <c r="Z241" s="204" t="s">
        <v>2597</v>
      </c>
      <c r="AA241" s="204" t="s">
        <v>2597</v>
      </c>
      <c r="AB241" s="204" t="s">
        <v>2597</v>
      </c>
      <c r="AC241" s="204" t="s">
        <v>2597</v>
      </c>
    </row>
    <row r="242" spans="1:29" ht="15">
      <c r="A242" s="182" t="s">
        <v>1595</v>
      </c>
      <c r="B242" s="182" t="s">
        <v>1830</v>
      </c>
      <c r="C242" s="182"/>
      <c r="D242" s="183">
        <v>2.4037000000000002</v>
      </c>
      <c r="E242" s="183">
        <v>1164.0244383439465</v>
      </c>
      <c r="F242" s="183">
        <v>1492.5425183068262</v>
      </c>
      <c r="G242" s="184">
        <v>0</v>
      </c>
      <c r="H242" s="184">
        <v>0</v>
      </c>
      <c r="I242" s="184">
        <v>0</v>
      </c>
      <c r="J242" s="177" t="b">
        <f>IF(ISBLANK(CertifiedCrop[[#This Row],[1. Identifiant interne d’exploitation agricole*]]),"",IF(ISERROR(MATCH(CertifiedCrop[[#This Row],[1. Identifiant interne d’exploitation agricole*]],GroupMember[1. Identifiant interne d’exploitation agricole*],0)),FALSE,TRUE))</f>
        <v>1</v>
      </c>
      <c r="K242" s="177" t="b">
        <f t="array" ref="K242">IF(ISBLANK(CertifiedCrop[[#This Row],[2. Produit agricole certifié*]]),"",IF(ISERROR(MATCH(1,(#REF!=CertifiedCrop[[#This Row],[2. Produit agricole certifié*]])*(#REF!=CertifiedCrop[[#This Row],[3. Variété**]]),0)),FALSE,TRUE))</f>
        <v>0</v>
      </c>
      <c r="L242" s="185" t="str">
        <f t="shared" si="15"/>
        <v/>
      </c>
      <c r="M242" s="186" t="str">
        <f t="shared" si="16"/>
        <v/>
      </c>
      <c r="N242" s="187" t="str">
        <f t="shared" si="17"/>
        <v/>
      </c>
      <c r="O242" s="188">
        <f t="shared" si="18"/>
        <v>484.26360957854411</v>
      </c>
      <c r="P242" s="188">
        <f t="shared" si="19"/>
        <v>620.93544049042146</v>
      </c>
      <c r="Q242" s="178" t="str">
        <f>IFERROR((VLOOKUP(A242,GM_Table,8,FALSE)-SUMIFS(D:D,A:A,A242,B:B,B242,C:C,C242)),"")</f>
        <v/>
      </c>
      <c r="R242" s="178" t="str">
        <f>IFERROR(CONCATENATE(VLOOKUP(A242,GM_Table,12,FALSE)," ",(VLOOKUP(A242,GM_Table,13,FALSE))),"")</f>
        <v/>
      </c>
      <c r="T242" s="203">
        <v>620.93544049042146</v>
      </c>
      <c r="U242" s="203">
        <v>0</v>
      </c>
      <c r="V242" s="204" t="s">
        <v>2597</v>
      </c>
      <c r="W242" s="203">
        <v>554.40664329501919</v>
      </c>
      <c r="X242" s="205">
        <v>-10.714285714285708</v>
      </c>
      <c r="Y242" s="204" t="s">
        <v>2597</v>
      </c>
      <c r="Z242" s="204" t="s">
        <v>2597</v>
      </c>
      <c r="AA242" s="204" t="s">
        <v>2597</v>
      </c>
      <c r="AB242" s="204" t="s">
        <v>2597</v>
      </c>
      <c r="AC242" s="204" t="s">
        <v>2597</v>
      </c>
    </row>
    <row r="243" spans="1:29" ht="15">
      <c r="A243" s="182" t="s">
        <v>1597</v>
      </c>
      <c r="B243" s="182" t="s">
        <v>1830</v>
      </c>
      <c r="C243" s="182"/>
      <c r="D243" s="183">
        <v>3.0255999999999998</v>
      </c>
      <c r="E243" s="183">
        <v>1660.44</v>
      </c>
      <c r="F243" s="183">
        <v>1842.24</v>
      </c>
      <c r="G243" s="184">
        <v>0</v>
      </c>
      <c r="H243" s="184">
        <v>0</v>
      </c>
      <c r="I243" s="184">
        <v>0</v>
      </c>
      <c r="J243" s="177" t="b">
        <f>IF(ISBLANK(CertifiedCrop[[#This Row],[1. Identifiant interne d’exploitation agricole*]]),"",IF(ISERROR(MATCH(CertifiedCrop[[#This Row],[1. Identifiant interne d’exploitation agricole*]],GroupMember[1. Identifiant interne d’exploitation agricole*],0)),FALSE,TRUE))</f>
        <v>1</v>
      </c>
      <c r="K243" s="177" t="b">
        <f t="array" ref="K243">IF(ISBLANK(CertifiedCrop[[#This Row],[2. Produit agricole certifié*]]),"",IF(ISERROR(MATCH(1,(#REF!=CertifiedCrop[[#This Row],[2. Produit agricole certifié*]])*(#REF!=CertifiedCrop[[#This Row],[3. Variété**]]),0)),FALSE,TRUE))</f>
        <v>0</v>
      </c>
      <c r="L243" s="185" t="str">
        <f t="shared" si="15"/>
        <v/>
      </c>
      <c r="M243" s="186" t="str">
        <f t="shared" si="16"/>
        <v/>
      </c>
      <c r="N243" s="187" t="str">
        <f t="shared" si="17"/>
        <v/>
      </c>
      <c r="O243" s="188">
        <f t="shared" si="18"/>
        <v>548.79693283976735</v>
      </c>
      <c r="P243" s="188">
        <f t="shared" si="19"/>
        <v>608.88418826017983</v>
      </c>
      <c r="Q243" s="178" t="str">
        <f>IFERROR((VLOOKUP(A243,GM_Table,8,FALSE)-SUMIFS(D:D,A:A,A243,B:B,B243,C:C,C243)),"")</f>
        <v/>
      </c>
      <c r="R243" s="178" t="str">
        <f>IFERROR(CONCATENATE(VLOOKUP(A243,GM_Table,12,FALSE)," ",(VLOOKUP(A243,GM_Table,13,FALSE))),"")</f>
        <v/>
      </c>
      <c r="T243" s="203">
        <v>621.41669419157097</v>
      </c>
      <c r="U243" s="203">
        <v>0</v>
      </c>
      <c r="V243" s="204" t="s">
        <v>2597</v>
      </c>
      <c r="W243" s="203">
        <v>554.83633409961692</v>
      </c>
      <c r="X243" s="205">
        <v>-10.714285714285717</v>
      </c>
      <c r="Y243" s="204" t="s">
        <v>2597</v>
      </c>
      <c r="Z243" s="204" t="s">
        <v>2597</v>
      </c>
      <c r="AA243" s="204" t="s">
        <v>2597</v>
      </c>
      <c r="AB243" s="204" t="s">
        <v>2597</v>
      </c>
      <c r="AC243" s="204" t="s">
        <v>2597</v>
      </c>
    </row>
    <row r="244" spans="1:29" ht="15">
      <c r="A244" s="182" t="s">
        <v>1601</v>
      </c>
      <c r="B244" s="182" t="s">
        <v>1830</v>
      </c>
      <c r="C244" s="182"/>
      <c r="D244" s="183">
        <v>1.9868999999999999</v>
      </c>
      <c r="E244" s="183">
        <v>961.94614371436774</v>
      </c>
      <c r="F244" s="183">
        <v>1233.0957754456333</v>
      </c>
      <c r="G244" s="184">
        <v>0</v>
      </c>
      <c r="H244" s="184">
        <v>0</v>
      </c>
      <c r="I244" s="184">
        <v>0</v>
      </c>
      <c r="J244" s="177" t="b">
        <f>IF(ISBLANK(CertifiedCrop[[#This Row],[1. Identifiant interne d’exploitation agricole*]]),"",IF(ISERROR(MATCH(CertifiedCrop[[#This Row],[1. Identifiant interne d’exploitation agricole*]],GroupMember[1. Identifiant interne d’exploitation agricole*],0)),FALSE,TRUE))</f>
        <v>1</v>
      </c>
      <c r="K244" s="177" t="b">
        <f t="array" ref="K244">IF(ISBLANK(CertifiedCrop[[#This Row],[2. Produit agricole certifié*]]),"",IF(ISERROR(MATCH(1,(#REF!=CertifiedCrop[[#This Row],[2. Produit agricole certifié*]])*(#REF!=CertifiedCrop[[#This Row],[3. Variété**]]),0)),FALSE,TRUE))</f>
        <v>0</v>
      </c>
      <c r="L244" s="185" t="str">
        <f t="shared" si="15"/>
        <v/>
      </c>
      <c r="M244" s="186" t="str">
        <f t="shared" si="16"/>
        <v/>
      </c>
      <c r="N244" s="187" t="str">
        <f t="shared" si="17"/>
        <v/>
      </c>
      <c r="O244" s="188">
        <f t="shared" si="18"/>
        <v>484.14421647509579</v>
      </c>
      <c r="P244" s="188">
        <f t="shared" si="19"/>
        <v>620.61290223243918</v>
      </c>
      <c r="Q244" s="178" t="str">
        <f>IFERROR((VLOOKUP(A244,GM_Table,8,FALSE)-SUMIFS(D:D,A:A,A244,B:B,B244,C:C,C244)),"")</f>
        <v/>
      </c>
      <c r="R244" s="178" t="str">
        <f>IFERROR(CONCATENATE(VLOOKUP(A244,GM_Table,12,FALSE)," ",(VLOOKUP(A244,GM_Table,13,FALSE))),"")</f>
        <v/>
      </c>
      <c r="T244" s="203">
        <v>620.61290223243918</v>
      </c>
      <c r="U244" s="203">
        <v>0</v>
      </c>
      <c r="V244" s="204" t="s">
        <v>2597</v>
      </c>
      <c r="W244" s="203">
        <v>554.11866270753501</v>
      </c>
      <c r="X244" s="205">
        <v>-10.714285714285712</v>
      </c>
      <c r="Y244" s="204" t="s">
        <v>2597</v>
      </c>
      <c r="Z244" s="204" t="s">
        <v>2597</v>
      </c>
      <c r="AA244" s="204" t="s">
        <v>2597</v>
      </c>
      <c r="AB244" s="204" t="s">
        <v>2597</v>
      </c>
      <c r="AC244" s="204" t="s">
        <v>2597</v>
      </c>
    </row>
    <row r="245" spans="1:29" ht="15">
      <c r="A245" s="182" t="s">
        <v>1604</v>
      </c>
      <c r="B245" s="182" t="s">
        <v>1830</v>
      </c>
      <c r="C245" s="182"/>
      <c r="D245" s="183">
        <v>2.3353000000000002</v>
      </c>
      <c r="E245" s="183">
        <v>1130.4840315578547</v>
      </c>
      <c r="F245" s="183">
        <v>1449.9469245471942</v>
      </c>
      <c r="G245" s="184">
        <v>0</v>
      </c>
      <c r="H245" s="184">
        <v>0</v>
      </c>
      <c r="I245" s="184">
        <v>0</v>
      </c>
      <c r="J245" s="177" t="b">
        <f>IF(ISBLANK(CertifiedCrop[[#This Row],[1. Identifiant interne d’exploitation agricole*]]),"",IF(ISERROR(MATCH(CertifiedCrop[[#This Row],[1. Identifiant interne d’exploitation agricole*]],GroupMember[1. Identifiant interne d’exploitation agricole*],0)),FALSE,TRUE))</f>
        <v>1</v>
      </c>
      <c r="K245" s="177" t="b">
        <f t="array" ref="K245">IF(ISBLANK(CertifiedCrop[[#This Row],[2. Produit agricole certifié*]]),"",IF(ISERROR(MATCH(1,(#REF!=CertifiedCrop[[#This Row],[2. Produit agricole certifié*]])*(#REF!=CertifiedCrop[[#This Row],[3. Variété**]]),0)),FALSE,TRUE))</f>
        <v>0</v>
      </c>
      <c r="L245" s="185" t="str">
        <f t="shared" si="15"/>
        <v/>
      </c>
      <c r="M245" s="186" t="str">
        <f t="shared" si="16"/>
        <v/>
      </c>
      <c r="N245" s="187" t="str">
        <f t="shared" si="17"/>
        <v/>
      </c>
      <c r="O245" s="188">
        <f t="shared" si="18"/>
        <v>484.08514176245217</v>
      </c>
      <c r="P245" s="188">
        <f t="shared" si="19"/>
        <v>620.88250954789282</v>
      </c>
      <c r="Q245" s="178" t="str">
        <f>IFERROR((VLOOKUP(A245,GM_Table,8,FALSE)-SUMIFS(D:D,A:A,A245,B:B,B245,C:C,C245)),"")</f>
        <v/>
      </c>
      <c r="R245" s="178" t="str">
        <f>IFERROR(CONCATENATE(VLOOKUP(A245,GM_Table,12,FALSE)," ",(VLOOKUP(A245,GM_Table,13,FALSE))),"")</f>
        <v/>
      </c>
      <c r="T245" s="203">
        <v>620.88250954789282</v>
      </c>
      <c r="U245" s="203">
        <v>0</v>
      </c>
      <c r="V245" s="204" t="s">
        <v>2597</v>
      </c>
      <c r="W245" s="203">
        <v>554.35938352490427</v>
      </c>
      <c r="X245" s="205">
        <v>-10.714285714285719</v>
      </c>
      <c r="Y245" s="204" t="s">
        <v>2597</v>
      </c>
      <c r="Z245" s="204" t="s">
        <v>2597</v>
      </c>
      <c r="AA245" s="204" t="s">
        <v>2597</v>
      </c>
      <c r="AB245" s="204" t="s">
        <v>2597</v>
      </c>
      <c r="AC245" s="204" t="s">
        <v>2597</v>
      </c>
    </row>
    <row r="246" spans="1:29" ht="15">
      <c r="A246" s="182" t="s">
        <v>1607</v>
      </c>
      <c r="B246" s="182" t="s">
        <v>1830</v>
      </c>
      <c r="C246" s="182"/>
      <c r="D246" s="183">
        <v>1.6932</v>
      </c>
      <c r="E246" s="183">
        <v>920.23</v>
      </c>
      <c r="F246" s="183">
        <v>1008.93</v>
      </c>
      <c r="G246" s="184">
        <v>0</v>
      </c>
      <c r="H246" s="184">
        <v>0</v>
      </c>
      <c r="I246" s="184">
        <v>0</v>
      </c>
      <c r="J246" s="177" t="b">
        <f>IF(ISBLANK(CertifiedCrop[[#This Row],[1. Identifiant interne d’exploitation agricole*]]),"",IF(ISERROR(MATCH(CertifiedCrop[[#This Row],[1. Identifiant interne d’exploitation agricole*]],GroupMember[1. Identifiant interne d’exploitation agricole*],0)),FALSE,TRUE))</f>
        <v>1</v>
      </c>
      <c r="K246" s="177" t="b">
        <f t="array" ref="K246">IF(ISBLANK(CertifiedCrop[[#This Row],[2. Produit agricole certifié*]]),"",IF(ISERROR(MATCH(1,(#REF!=CertifiedCrop[[#This Row],[2. Produit agricole certifié*]])*(#REF!=CertifiedCrop[[#This Row],[3. Variété**]]),0)),FALSE,TRUE))</f>
        <v>0</v>
      </c>
      <c r="L246" s="185" t="str">
        <f t="shared" si="15"/>
        <v/>
      </c>
      <c r="M246" s="186" t="str">
        <f t="shared" si="16"/>
        <v/>
      </c>
      <c r="N246" s="187" t="str">
        <f t="shared" si="17"/>
        <v/>
      </c>
      <c r="O246" s="188">
        <f t="shared" si="18"/>
        <v>543.48570753602644</v>
      </c>
      <c r="P246" s="188">
        <f t="shared" si="19"/>
        <v>595.871722182849</v>
      </c>
      <c r="Q246" s="178" t="str">
        <f>IFERROR((VLOOKUP(A246,GM_Table,8,FALSE)-SUMIFS(D:D,A:A,A246,B:B,B246,C:C,C246)),"")</f>
        <v/>
      </c>
      <c r="R246" s="178" t="str">
        <f>IFERROR(CONCATENATE(VLOOKUP(A246,GM_Table,12,FALSE)," ",(VLOOKUP(A246,GM_Table,13,FALSE))),"")</f>
        <v/>
      </c>
      <c r="T246" s="203">
        <v>620.38562419412517</v>
      </c>
      <c r="U246" s="203">
        <v>0</v>
      </c>
      <c r="V246" s="204" t="s">
        <v>2597</v>
      </c>
      <c r="W246" s="203">
        <v>553.91573588761173</v>
      </c>
      <c r="X246" s="205">
        <v>-10.714285714285719</v>
      </c>
      <c r="Y246" s="204" t="s">
        <v>2597</v>
      </c>
      <c r="Z246" s="204" t="s">
        <v>2597</v>
      </c>
      <c r="AA246" s="204" t="s">
        <v>2597</v>
      </c>
      <c r="AB246" s="204" t="s">
        <v>2597</v>
      </c>
      <c r="AC246" s="204" t="s">
        <v>2597</v>
      </c>
    </row>
    <row r="247" spans="1:29" ht="15">
      <c r="A247" s="182" t="s">
        <v>1611</v>
      </c>
      <c r="B247" s="182" t="s">
        <v>1830</v>
      </c>
      <c r="C247" s="182"/>
      <c r="D247" s="183">
        <v>1.1197999999999999</v>
      </c>
      <c r="E247" s="183">
        <v>625</v>
      </c>
      <c r="F247" s="183">
        <v>694.21094178809278</v>
      </c>
      <c r="G247" s="184">
        <v>0</v>
      </c>
      <c r="H247" s="184">
        <v>0</v>
      </c>
      <c r="I247" s="184">
        <v>0</v>
      </c>
      <c r="J247" s="177" t="b">
        <f>IF(ISBLANK(CertifiedCrop[[#This Row],[1. Identifiant interne d’exploitation agricole*]]),"",IF(ISERROR(MATCH(CertifiedCrop[[#This Row],[1. Identifiant interne d’exploitation agricole*]],GroupMember[1. Identifiant interne d’exploitation agricole*],0)),FALSE,TRUE))</f>
        <v>1</v>
      </c>
      <c r="K247" s="177" t="b">
        <f t="array" ref="K247">IF(ISBLANK(CertifiedCrop[[#This Row],[2. Produit agricole certifié*]]),"",IF(ISERROR(MATCH(1,(#REF!=CertifiedCrop[[#This Row],[2. Produit agricole certifié*]])*(#REF!=CertifiedCrop[[#This Row],[3. Variété**]]),0)),FALSE,TRUE))</f>
        <v>0</v>
      </c>
      <c r="L247" s="185" t="str">
        <f t="shared" si="15"/>
        <v/>
      </c>
      <c r="M247" s="186" t="str">
        <f t="shared" si="16"/>
        <v/>
      </c>
      <c r="N247" s="187" t="str">
        <f t="shared" si="17"/>
        <v/>
      </c>
      <c r="O247" s="188">
        <f t="shared" si="18"/>
        <v>558.13538131809253</v>
      </c>
      <c r="P247" s="188">
        <f t="shared" si="19"/>
        <v>619.94190193614293</v>
      </c>
      <c r="Q247" s="178" t="str">
        <f>IFERROR((VLOOKUP(A247,GM_Table,8,FALSE)-SUMIFS(D:D,A:A,A247,B:B,B247,C:C,C247)),"")</f>
        <v/>
      </c>
      <c r="R247" s="178" t="str">
        <f>IFERROR(CONCATENATE(VLOOKUP(A247,GM_Table,12,FALSE)," ",(VLOOKUP(A247,GM_Table,13,FALSE))),"")</f>
        <v/>
      </c>
      <c r="T247" s="203">
        <v>619.94190193614293</v>
      </c>
      <c r="U247" s="203">
        <v>0</v>
      </c>
      <c r="V247" s="204" t="s">
        <v>2597</v>
      </c>
      <c r="W247" s="203">
        <v>553.51955530012765</v>
      </c>
      <c r="X247" s="205">
        <v>-10.714285714285708</v>
      </c>
      <c r="Y247" s="204" t="s">
        <v>2597</v>
      </c>
      <c r="Z247" s="204" t="s">
        <v>2597</v>
      </c>
      <c r="AA247" s="204" t="s">
        <v>2597</v>
      </c>
      <c r="AB247" s="204" t="s">
        <v>2597</v>
      </c>
      <c r="AC247" s="204" t="s">
        <v>2597</v>
      </c>
    </row>
    <row r="248" spans="1:29" ht="15">
      <c r="A248" s="182" t="s">
        <v>1614</v>
      </c>
      <c r="B248" s="182" t="s">
        <v>1830</v>
      </c>
      <c r="C248" s="182"/>
      <c r="D248" s="183">
        <v>0.90739999999999998</v>
      </c>
      <c r="E248" s="183">
        <v>445.9</v>
      </c>
      <c r="F248" s="183">
        <v>492.16751575297479</v>
      </c>
      <c r="G248" s="184">
        <v>0</v>
      </c>
      <c r="H248" s="184">
        <v>0</v>
      </c>
      <c r="I248" s="184">
        <v>0</v>
      </c>
      <c r="J248" s="177" t="b">
        <f>IF(ISBLANK(CertifiedCrop[[#This Row],[1. Identifiant interne d’exploitation agricole*]]),"",IF(ISERROR(MATCH(CertifiedCrop[[#This Row],[1. Identifiant interne d’exploitation agricole*]],GroupMember[1. Identifiant interne d’exploitation agricole*],0)),FALSE,TRUE))</f>
        <v>1</v>
      </c>
      <c r="K248" s="177" t="b">
        <f t="array" ref="K248">IF(ISBLANK(CertifiedCrop[[#This Row],[2. Produit agricole certifié*]]),"",IF(ISERROR(MATCH(1,(#REF!=CertifiedCrop[[#This Row],[2. Produit agricole certifié*]])*(#REF!=CertifiedCrop[[#This Row],[3. Variété**]]),0)),FALSE,TRUE))</f>
        <v>0</v>
      </c>
      <c r="L248" s="185" t="str">
        <f t="shared" si="15"/>
        <v/>
      </c>
      <c r="M248" s="186" t="str">
        <f t="shared" si="16"/>
        <v/>
      </c>
      <c r="N248" s="187" t="str">
        <f t="shared" si="17"/>
        <v/>
      </c>
      <c r="O248" s="188">
        <f t="shared" si="18"/>
        <v>491.40401146131802</v>
      </c>
      <c r="P248" s="188">
        <f t="shared" si="19"/>
        <v>542.39311852873573</v>
      </c>
      <c r="Q248" s="178" t="str">
        <f>IFERROR((VLOOKUP(A248,GM_Table,8,FALSE)-SUMIFS(D:D,A:A,A248,B:B,B248,C:C,C248)),"")</f>
        <v/>
      </c>
      <c r="R248" s="178" t="str">
        <f>IFERROR(CONCATENATE(VLOOKUP(A248,GM_Table,12,FALSE)," ",(VLOOKUP(A248,GM_Table,13,FALSE))),"")</f>
        <v/>
      </c>
      <c r="T248" s="203">
        <v>542.39311852873573</v>
      </c>
      <c r="U248" s="203">
        <v>0</v>
      </c>
      <c r="V248" s="204" t="s">
        <v>2597</v>
      </c>
      <c r="W248" s="203">
        <v>484.2795701149426</v>
      </c>
      <c r="X248" s="205">
        <v>-10.714285714285717</v>
      </c>
      <c r="Y248" s="204" t="s">
        <v>2597</v>
      </c>
      <c r="Z248" s="204" t="s">
        <v>2597</v>
      </c>
      <c r="AA248" s="204" t="s">
        <v>2597</v>
      </c>
      <c r="AB248" s="204" t="s">
        <v>2597</v>
      </c>
      <c r="AC248" s="204" t="s">
        <v>2597</v>
      </c>
    </row>
    <row r="249" spans="1:29" ht="15">
      <c r="A249" s="182" t="s">
        <v>1619</v>
      </c>
      <c r="B249" s="182" t="s">
        <v>1830</v>
      </c>
      <c r="C249" s="182"/>
      <c r="D249" s="183">
        <v>4.6650999999999998</v>
      </c>
      <c r="E249" s="183">
        <v>2381.6999999999998</v>
      </c>
      <c r="F249" s="183">
        <v>2643.22</v>
      </c>
      <c r="G249" s="184">
        <v>0</v>
      </c>
      <c r="H249" s="184">
        <v>0</v>
      </c>
      <c r="I249" s="184">
        <v>0</v>
      </c>
      <c r="J249" s="177" t="b">
        <f>IF(ISBLANK(CertifiedCrop[[#This Row],[1. Identifiant interne d’exploitation agricole*]]),"",IF(ISERROR(MATCH(CertifiedCrop[[#This Row],[1. Identifiant interne d’exploitation agricole*]],GroupMember[1. Identifiant interne d’exploitation agricole*],0)),FALSE,TRUE))</f>
        <v>1</v>
      </c>
      <c r="K249" s="177" t="b">
        <f t="array" ref="K249">IF(ISBLANK(CertifiedCrop[[#This Row],[2. Produit agricole certifié*]]),"",IF(ISERROR(MATCH(1,(#REF!=CertifiedCrop[[#This Row],[2. Produit agricole certifié*]])*(#REF!=CertifiedCrop[[#This Row],[3. Variété**]]),0)),FALSE,TRUE))</f>
        <v>0</v>
      </c>
      <c r="L249" s="185" t="str">
        <f t="shared" si="15"/>
        <v/>
      </c>
      <c r="M249" s="186" t="str">
        <f t="shared" si="16"/>
        <v/>
      </c>
      <c r="N249" s="187" t="str">
        <f t="shared" si="17"/>
        <v/>
      </c>
      <c r="O249" s="188">
        <f t="shared" si="18"/>
        <v>510.53567983537329</v>
      </c>
      <c r="P249" s="188">
        <f t="shared" si="19"/>
        <v>566.59449958200253</v>
      </c>
      <c r="Q249" s="178" t="str">
        <f>IFERROR((VLOOKUP(A249,GM_Table,8,FALSE)-SUMIFS(D:D,A:A,A249,B:B,B249,C:C,C249)),"")</f>
        <v/>
      </c>
      <c r="R249" s="178" t="str">
        <f>IFERROR(CONCATENATE(VLOOKUP(A249,GM_Table,12,FALSE)," ",(VLOOKUP(A249,GM_Table,13,FALSE))),"")</f>
        <v/>
      </c>
      <c r="T249" s="203">
        <v>622.68541173946369</v>
      </c>
      <c r="U249" s="203">
        <v>0</v>
      </c>
      <c r="V249" s="204" t="s">
        <v>2597</v>
      </c>
      <c r="W249" s="203">
        <v>555.96911762452112</v>
      </c>
      <c r="X249" s="205">
        <v>-10.714285714285719</v>
      </c>
      <c r="Y249" s="204" t="s">
        <v>2597</v>
      </c>
      <c r="Z249" s="204" t="s">
        <v>2597</v>
      </c>
      <c r="AA249" s="204" t="s">
        <v>2597</v>
      </c>
      <c r="AB249" s="204" t="s">
        <v>2597</v>
      </c>
      <c r="AC249" s="204" t="s">
        <v>2597</v>
      </c>
    </row>
    <row r="250" spans="1:29" ht="15">
      <c r="A250" s="182" t="s">
        <v>1623</v>
      </c>
      <c r="B250" s="182" t="s">
        <v>1830</v>
      </c>
      <c r="C250" s="182"/>
      <c r="D250" s="183">
        <v>0.46939999999999998</v>
      </c>
      <c r="E250" s="183">
        <v>231.24</v>
      </c>
      <c r="F250" s="183">
        <v>256.14999999999998</v>
      </c>
      <c r="G250" s="184">
        <v>0</v>
      </c>
      <c r="H250" s="184">
        <v>0</v>
      </c>
      <c r="I250" s="184">
        <v>0</v>
      </c>
      <c r="J250" s="177" t="b">
        <f>IF(ISBLANK(CertifiedCrop[[#This Row],[1. Identifiant interne d’exploitation agricole*]]),"",IF(ISERROR(MATCH(CertifiedCrop[[#This Row],[1. Identifiant interne d’exploitation agricole*]],GroupMember[1. Identifiant interne d’exploitation agricole*],0)),FALSE,TRUE))</f>
        <v>1</v>
      </c>
      <c r="K250" s="177" t="b">
        <f t="array" ref="K250">IF(ISBLANK(CertifiedCrop[[#This Row],[2. Produit agricole certifié*]]),"",IF(ISERROR(MATCH(1,(#REF!=CertifiedCrop[[#This Row],[2. Produit agricole certifié*]])*(#REF!=CertifiedCrop[[#This Row],[3. Variété**]]),0)),FALSE,TRUE))</f>
        <v>0</v>
      </c>
      <c r="L250" s="185" t="str">
        <f t="shared" si="15"/>
        <v/>
      </c>
      <c r="M250" s="186" t="str">
        <f t="shared" si="16"/>
        <v/>
      </c>
      <c r="N250" s="187" t="str">
        <f t="shared" si="17"/>
        <v/>
      </c>
      <c r="O250" s="188">
        <f t="shared" si="18"/>
        <v>492.62888794205372</v>
      </c>
      <c r="P250" s="188">
        <f t="shared" si="19"/>
        <v>545.6966340008521</v>
      </c>
      <c r="Q250" s="178" t="str">
        <f>IFERROR((VLOOKUP(A250,GM_Table,8,FALSE)-SUMIFS(D:D,A:A,A250,B:B,B250,C:C,C250)),"")</f>
        <v/>
      </c>
      <c r="R250" s="178" t="str">
        <f>IFERROR(CONCATENATE(VLOOKUP(A250,GM_Table,12,FALSE)," ",(VLOOKUP(A250,GM_Table,13,FALSE))),"")</f>
        <v/>
      </c>
      <c r="T250" s="203">
        <v>542.05417477394633</v>
      </c>
      <c r="U250" s="203">
        <v>0</v>
      </c>
      <c r="V250" s="204" t="s">
        <v>2597</v>
      </c>
      <c r="W250" s="203">
        <v>483.9769417624521</v>
      </c>
      <c r="X250" s="205">
        <v>-10.714285714285712</v>
      </c>
      <c r="Y250" s="204" t="s">
        <v>2597</v>
      </c>
      <c r="Z250" s="204" t="s">
        <v>2597</v>
      </c>
      <c r="AA250" s="204" t="s">
        <v>2597</v>
      </c>
      <c r="AB250" s="204" t="s">
        <v>2597</v>
      </c>
      <c r="AC250" s="204" t="s">
        <v>2597</v>
      </c>
    </row>
    <row r="251" spans="1:29" ht="15">
      <c r="A251" s="182" t="s">
        <v>1627</v>
      </c>
      <c r="B251" s="182" t="s">
        <v>1830</v>
      </c>
      <c r="C251" s="182"/>
      <c r="D251" s="183">
        <v>1.0594000000000001</v>
      </c>
      <c r="E251" s="183">
        <v>578.76</v>
      </c>
      <c r="F251" s="183">
        <v>642.36</v>
      </c>
      <c r="G251" s="184">
        <v>0</v>
      </c>
      <c r="H251" s="184">
        <v>0</v>
      </c>
      <c r="I251" s="184">
        <v>0</v>
      </c>
      <c r="J251" s="177" t="b">
        <f>IF(ISBLANK(CertifiedCrop[[#This Row],[1. Identifiant interne d’exploitation agricole*]]),"",IF(ISERROR(MATCH(CertifiedCrop[[#This Row],[1. Identifiant interne d’exploitation agricole*]],GroupMember[1. Identifiant interne d’exploitation agricole*],0)),FALSE,TRUE))</f>
        <v>1</v>
      </c>
      <c r="K251" s="177" t="b">
        <f t="array" ref="K251">IF(ISBLANK(CertifiedCrop[[#This Row],[2. Produit agricole certifié*]]),"",IF(ISERROR(MATCH(1,(#REF!=CertifiedCrop[[#This Row],[2. Produit agricole certifié*]])*(#REF!=CertifiedCrop[[#This Row],[3. Variété**]]),0)),FALSE,TRUE))</f>
        <v>0</v>
      </c>
      <c r="L251" s="185" t="str">
        <f t="shared" si="15"/>
        <v/>
      </c>
      <c r="M251" s="186" t="str">
        <f t="shared" si="16"/>
        <v/>
      </c>
      <c r="N251" s="187" t="str">
        <f t="shared" si="17"/>
        <v/>
      </c>
      <c r="O251" s="188">
        <f t="shared" si="18"/>
        <v>546.30923164055116</v>
      </c>
      <c r="P251" s="188">
        <f t="shared" si="19"/>
        <v>606.34321313951284</v>
      </c>
      <c r="Q251" s="178" t="str">
        <f>IFERROR((VLOOKUP(A251,GM_Table,8,FALSE)-SUMIFS(D:D,A:A,A251,B:B,B251,C:C,C251)),"")</f>
        <v/>
      </c>
      <c r="R251" s="178" t="str">
        <f>IFERROR(CONCATENATE(VLOOKUP(A251,GM_Table,12,FALSE)," ",(VLOOKUP(A251,GM_Table,13,FALSE))),"")</f>
        <v/>
      </c>
      <c r="T251" s="203">
        <v>619.89516174712628</v>
      </c>
      <c r="U251" s="203">
        <v>0</v>
      </c>
      <c r="V251" s="204" t="s">
        <v>2597</v>
      </c>
      <c r="W251" s="203">
        <v>553.47782298850564</v>
      </c>
      <c r="X251" s="205">
        <v>-10.71428571428571</v>
      </c>
      <c r="Y251" s="204" t="s">
        <v>2597</v>
      </c>
      <c r="Z251" s="204" t="s">
        <v>2597</v>
      </c>
      <c r="AA251" s="204" t="s">
        <v>2597</v>
      </c>
      <c r="AB251" s="204" t="s">
        <v>2597</v>
      </c>
      <c r="AC251" s="204" t="s">
        <v>2597</v>
      </c>
    </row>
    <row r="252" spans="1:29" ht="15">
      <c r="A252" s="182" t="s">
        <v>1631</v>
      </c>
      <c r="B252" s="182" t="s">
        <v>1830</v>
      </c>
      <c r="C252" s="182"/>
      <c r="D252" s="183">
        <v>3.8622000000000001</v>
      </c>
      <c r="E252" s="183">
        <v>2092.12</v>
      </c>
      <c r="F252" s="183">
        <v>2323.17</v>
      </c>
      <c r="G252" s="184">
        <v>0</v>
      </c>
      <c r="H252" s="184">
        <v>0</v>
      </c>
      <c r="I252" s="184">
        <v>0</v>
      </c>
      <c r="J252" s="177" t="b">
        <f>IF(ISBLANK(CertifiedCrop[[#This Row],[1. Identifiant interne d’exploitation agricole*]]),"",IF(ISERROR(MATCH(CertifiedCrop[[#This Row],[1. Identifiant interne d’exploitation agricole*]],GroupMember[1. Identifiant interne d’exploitation agricole*],0)),FALSE,TRUE))</f>
        <v>1</v>
      </c>
      <c r="K252" s="177" t="b">
        <f t="array" ref="K252">IF(ISBLANK(CertifiedCrop[[#This Row],[2. Produit agricole certifié*]]),"",IF(ISERROR(MATCH(1,(#REF!=CertifiedCrop[[#This Row],[2. Produit agricole certifié*]])*(#REF!=CertifiedCrop[[#This Row],[3. Variété**]]),0)),FALSE,TRUE))</f>
        <v>0</v>
      </c>
      <c r="L252" s="185" t="str">
        <f t="shared" si="15"/>
        <v/>
      </c>
      <c r="M252" s="186" t="str">
        <f t="shared" si="16"/>
        <v/>
      </c>
      <c r="N252" s="187" t="str">
        <f t="shared" si="17"/>
        <v/>
      </c>
      <c r="O252" s="188">
        <f t="shared" si="18"/>
        <v>541.69126404639837</v>
      </c>
      <c r="P252" s="188">
        <f t="shared" si="19"/>
        <v>601.51468075190303</v>
      </c>
      <c r="Q252" s="178" t="str">
        <f>IFERROR((VLOOKUP(A252,GM_Table,8,FALSE)-SUMIFS(D:D,A:A,A252,B:B,B252,C:C,C252)),"")</f>
        <v/>
      </c>
      <c r="R252" s="178" t="str">
        <f>IFERROR(CONCATENATE(VLOOKUP(A252,GM_Table,12,FALSE)," ",(VLOOKUP(A252,GM_Table,13,FALSE))),"")</f>
        <v/>
      </c>
      <c r="T252" s="203">
        <v>622.06409224010213</v>
      </c>
      <c r="U252" s="203">
        <v>0</v>
      </c>
      <c r="V252" s="204" t="s">
        <v>2597</v>
      </c>
      <c r="W252" s="203">
        <v>555.41436807151979</v>
      </c>
      <c r="X252" s="205">
        <v>-10.71428571428571</v>
      </c>
      <c r="Y252" s="204" t="s">
        <v>2597</v>
      </c>
      <c r="Z252" s="204" t="s">
        <v>2597</v>
      </c>
      <c r="AA252" s="204" t="s">
        <v>2597</v>
      </c>
      <c r="AB252" s="204" t="s">
        <v>2597</v>
      </c>
      <c r="AC252" s="204" t="s">
        <v>2597</v>
      </c>
    </row>
    <row r="253" spans="1:29" ht="15">
      <c r="A253" s="182" t="s">
        <v>1634</v>
      </c>
      <c r="B253" s="182" t="s">
        <v>1830</v>
      </c>
      <c r="C253" s="182"/>
      <c r="D253" s="183">
        <v>0.80200000000000005</v>
      </c>
      <c r="E253" s="183">
        <v>406.9</v>
      </c>
      <c r="F253" s="183">
        <v>445.3</v>
      </c>
      <c r="G253" s="184">
        <v>0</v>
      </c>
      <c r="H253" s="184">
        <v>0</v>
      </c>
      <c r="I253" s="184">
        <v>0</v>
      </c>
      <c r="J253" s="177" t="b">
        <f>IF(ISBLANK(CertifiedCrop[[#This Row],[1. Identifiant interne d’exploitation agricole*]]),"",IF(ISERROR(MATCH(CertifiedCrop[[#This Row],[1. Identifiant interne d’exploitation agricole*]],GroupMember[1. Identifiant interne d’exploitation agricole*],0)),FALSE,TRUE))</f>
        <v>1</v>
      </c>
      <c r="K253" s="177" t="b">
        <f t="array" ref="K253">IF(ISBLANK(CertifiedCrop[[#This Row],[2. Produit agricole certifié*]]),"",IF(ISERROR(MATCH(1,(#REF!=CertifiedCrop[[#This Row],[2. Produit agricole certifié*]])*(#REF!=CertifiedCrop[[#This Row],[3. Variété**]]),0)),FALSE,TRUE))</f>
        <v>0</v>
      </c>
      <c r="L253" s="185" t="str">
        <f t="shared" si="15"/>
        <v/>
      </c>
      <c r="M253" s="186" t="str">
        <f t="shared" si="16"/>
        <v/>
      </c>
      <c r="N253" s="187" t="str">
        <f t="shared" si="17"/>
        <v/>
      </c>
      <c r="O253" s="188">
        <f t="shared" si="18"/>
        <v>507.35660847880291</v>
      </c>
      <c r="P253" s="188">
        <f t="shared" si="19"/>
        <v>555.23690773067335</v>
      </c>
      <c r="Q253" s="178" t="str">
        <f>IFERROR((VLOOKUP(A253,GM_Table,8,FALSE)-SUMIFS(D:D,A:A,A253,B:B,B253,C:C,C253)),"")</f>
        <v/>
      </c>
      <c r="R253" s="178" t="str">
        <f>IFERROR(CONCATENATE(VLOOKUP(A253,GM_Table,12,FALSE)," ",(VLOOKUP(A253,GM_Table,13,FALSE))),"")</f>
        <v/>
      </c>
      <c r="T253" s="203">
        <v>542.31155535121331</v>
      </c>
      <c r="U253" s="203">
        <v>0</v>
      </c>
      <c r="V253" s="204" t="s">
        <v>2597</v>
      </c>
      <c r="W253" s="203">
        <v>484.20674584929759</v>
      </c>
      <c r="X253" s="205">
        <v>-10.714285714285717</v>
      </c>
      <c r="Y253" s="204" t="s">
        <v>2597</v>
      </c>
      <c r="Z253" s="204" t="s">
        <v>2597</v>
      </c>
      <c r="AA253" s="204" t="s">
        <v>2597</v>
      </c>
      <c r="AB253" s="204" t="s">
        <v>2597</v>
      </c>
      <c r="AC253" s="204" t="s">
        <v>2597</v>
      </c>
    </row>
    <row r="254" spans="1:29" ht="15">
      <c r="A254" s="182" t="s">
        <v>1638</v>
      </c>
      <c r="B254" s="182" t="s">
        <v>1830</v>
      </c>
      <c r="C254" s="182"/>
      <c r="D254" s="183">
        <v>2.5871</v>
      </c>
      <c r="E254" s="183">
        <v>1294.9611351321935</v>
      </c>
      <c r="F254" s="183">
        <v>1606.7892471488467</v>
      </c>
      <c r="G254" s="184">
        <v>0</v>
      </c>
      <c r="H254" s="184">
        <v>0</v>
      </c>
      <c r="I254" s="184">
        <v>0</v>
      </c>
      <c r="J254" s="177" t="b">
        <f>IF(ISBLANK(CertifiedCrop[[#This Row],[1. Identifiant interne d’exploitation agricole*]]),"",IF(ISERROR(MATCH(CertifiedCrop[[#This Row],[1. Identifiant interne d’exploitation agricole*]],GroupMember[1. Identifiant interne d’exploitation agricole*],0)),FALSE,TRUE))</f>
        <v>1</v>
      </c>
      <c r="K254" s="177" t="b">
        <f t="array" ref="K254">IF(ISBLANK(CertifiedCrop[[#This Row],[2. Produit agricole certifié*]]),"",IF(ISERROR(MATCH(1,(#REF!=CertifiedCrop[[#This Row],[2. Produit agricole certifié*]])*(#REF!=CertifiedCrop[[#This Row],[3. Variété**]]),0)),FALSE,TRUE))</f>
        <v>0</v>
      </c>
      <c r="L254" s="185" t="str">
        <f t="shared" si="15"/>
        <v/>
      </c>
      <c r="M254" s="186" t="str">
        <f t="shared" si="16"/>
        <v/>
      </c>
      <c r="N254" s="187" t="str">
        <f t="shared" si="17"/>
        <v/>
      </c>
      <c r="O254" s="188">
        <f t="shared" si="18"/>
        <v>500.54545055552296</v>
      </c>
      <c r="P254" s="188">
        <f t="shared" si="19"/>
        <v>621.07736351468702</v>
      </c>
      <c r="Q254" s="178" t="str">
        <f>IFERROR((VLOOKUP(A254,GM_Table,8,FALSE)-SUMIFS(D:D,A:A,A254,B:B,B254,C:C,C254)),"")</f>
        <v/>
      </c>
      <c r="R254" s="178" t="str">
        <f>IFERROR(CONCATENATE(VLOOKUP(A254,GM_Table,12,FALSE)," ",(VLOOKUP(A254,GM_Table,13,FALSE))),"")</f>
        <v/>
      </c>
      <c r="T254" s="203">
        <v>621.07736351468702</v>
      </c>
      <c r="U254" s="203">
        <v>0</v>
      </c>
      <c r="V254" s="204" t="s">
        <v>2597</v>
      </c>
      <c r="W254" s="203">
        <v>554.53336028097056</v>
      </c>
      <c r="X254" s="205">
        <v>-10.714285714285714</v>
      </c>
      <c r="Y254" s="204" t="s">
        <v>2597</v>
      </c>
      <c r="Z254" s="204" t="s">
        <v>2597</v>
      </c>
      <c r="AA254" s="204" t="s">
        <v>2597</v>
      </c>
      <c r="AB254" s="204" t="s">
        <v>2597</v>
      </c>
      <c r="AC254" s="204" t="s">
        <v>2597</v>
      </c>
    </row>
    <row r="255" spans="1:29" ht="15">
      <c r="A255" s="182" t="s">
        <v>1641</v>
      </c>
      <c r="B255" s="182" t="s">
        <v>1830</v>
      </c>
      <c r="C255" s="182"/>
      <c r="D255" s="183">
        <v>1.1451</v>
      </c>
      <c r="E255" s="183">
        <v>574.0999104322708</v>
      </c>
      <c r="F255" s="183">
        <v>709.91789097029289</v>
      </c>
      <c r="G255" s="184">
        <v>0</v>
      </c>
      <c r="H255" s="184">
        <v>0</v>
      </c>
      <c r="I255" s="184">
        <v>0</v>
      </c>
      <c r="J255" s="177" t="b">
        <f>IF(ISBLANK(CertifiedCrop[[#This Row],[1. Identifiant interne d’exploitation agricole*]]),"",IF(ISERROR(MATCH(CertifiedCrop[[#This Row],[1. Identifiant interne d’exploitation agricole*]],GroupMember[1. Identifiant interne d’exploitation agricole*],0)),FALSE,TRUE))</f>
        <v>1</v>
      </c>
      <c r="K255" s="177" t="b">
        <f t="array" ref="K255">IF(ISBLANK(CertifiedCrop[[#This Row],[2. Produit agricole certifié*]]),"",IF(ISERROR(MATCH(1,(#REF!=CertifiedCrop[[#This Row],[2. Produit agricole certifié*]])*(#REF!=CertifiedCrop[[#This Row],[3. Variété**]]),0)),FALSE,TRUE))</f>
        <v>0</v>
      </c>
      <c r="L255" s="185" t="str">
        <f t="shared" si="15"/>
        <v/>
      </c>
      <c r="M255" s="186" t="str">
        <f t="shared" si="16"/>
        <v/>
      </c>
      <c r="N255" s="187" t="str">
        <f t="shared" si="17"/>
        <v/>
      </c>
      <c r="O255" s="188">
        <f t="shared" si="18"/>
        <v>501.35351535435404</v>
      </c>
      <c r="P255" s="188">
        <f t="shared" si="19"/>
        <v>619.96148019412533</v>
      </c>
      <c r="Q255" s="178" t="str">
        <f>IFERROR((VLOOKUP(A255,GM_Table,8,FALSE)-SUMIFS(D:D,A:A,A255,B:B,B255,C:C,C255)),"")</f>
        <v/>
      </c>
      <c r="R255" s="178" t="str">
        <f>IFERROR(CONCATENATE(VLOOKUP(A255,GM_Table,12,FALSE)," ",(VLOOKUP(A255,GM_Table,13,FALSE))),"")</f>
        <v/>
      </c>
      <c r="T255" s="203">
        <v>619.96148019412533</v>
      </c>
      <c r="U255" s="203">
        <v>0</v>
      </c>
      <c r="V255" s="204" t="s">
        <v>2597</v>
      </c>
      <c r="W255" s="203">
        <v>553.53703588761186</v>
      </c>
      <c r="X255" s="205">
        <v>-10.714285714285721</v>
      </c>
      <c r="Y255" s="204" t="s">
        <v>2597</v>
      </c>
      <c r="Z255" s="204" t="s">
        <v>2597</v>
      </c>
      <c r="AA255" s="204" t="s">
        <v>2597</v>
      </c>
      <c r="AB255" s="204" t="s">
        <v>2597</v>
      </c>
      <c r="AC255" s="204" t="s">
        <v>2597</v>
      </c>
    </row>
    <row r="256" spans="1:29" ht="15">
      <c r="A256" s="182" t="s">
        <v>1645</v>
      </c>
      <c r="B256" s="182" t="s">
        <v>1830</v>
      </c>
      <c r="C256" s="182"/>
      <c r="D256" s="183">
        <v>2.0179</v>
      </c>
      <c r="E256" s="183">
        <v>1013.9010296919906</v>
      </c>
      <c r="F256" s="183">
        <v>1252.383183160699</v>
      </c>
      <c r="G256" s="184">
        <v>0</v>
      </c>
      <c r="H256" s="184">
        <v>0</v>
      </c>
      <c r="I256" s="184">
        <v>0</v>
      </c>
      <c r="J256" s="177" t="b">
        <f>IF(ISBLANK(CertifiedCrop[[#This Row],[1. Identifiant interne d’exploitation agricole*]]),"",IF(ISERROR(MATCH(CertifiedCrop[[#This Row],[1. Identifiant interne d’exploitation agricole*]],GroupMember[1. Identifiant interne d’exploitation agricole*],0)),FALSE,TRUE))</f>
        <v>1</v>
      </c>
      <c r="K256" s="177" t="b">
        <f t="array" ref="K256">IF(ISBLANK(CertifiedCrop[[#This Row],[2. Produit agricole certifié*]]),"",IF(ISERROR(MATCH(1,(#REF!=CertifiedCrop[[#This Row],[2. Produit agricole certifié*]])*(#REF!=CertifiedCrop[[#This Row],[3. Variété**]]),0)),FALSE,TRUE))</f>
        <v>0</v>
      </c>
      <c r="L256" s="185" t="str">
        <f t="shared" si="15"/>
        <v/>
      </c>
      <c r="M256" s="186" t="str">
        <f t="shared" si="16"/>
        <v/>
      </c>
      <c r="N256" s="187" t="str">
        <f t="shared" si="17"/>
        <v/>
      </c>
      <c r="O256" s="188">
        <f t="shared" si="18"/>
        <v>502.45355552405499</v>
      </c>
      <c r="P256" s="188">
        <f t="shared" si="19"/>
        <v>620.63689140229894</v>
      </c>
      <c r="Q256" s="178" t="str">
        <f>IFERROR((VLOOKUP(A256,GM_Table,8,FALSE)-SUMIFS(D:D,A:A,A256,B:B,B256,C:C,C256)),"")</f>
        <v/>
      </c>
      <c r="R256" s="178" t="str">
        <f>IFERROR(CONCATENATE(VLOOKUP(A256,GM_Table,12,FALSE)," ",(VLOOKUP(A256,GM_Table,13,FALSE))),"")</f>
        <v/>
      </c>
      <c r="T256" s="203">
        <v>620.63689140229894</v>
      </c>
      <c r="U256" s="203">
        <v>0</v>
      </c>
      <c r="V256" s="204" t="s">
        <v>2597</v>
      </c>
      <c r="W256" s="203">
        <v>554.14008160919548</v>
      </c>
      <c r="X256" s="205">
        <v>-10.714285714285715</v>
      </c>
      <c r="Y256" s="204" t="s">
        <v>2597</v>
      </c>
      <c r="Z256" s="204" t="s">
        <v>2597</v>
      </c>
      <c r="AA256" s="204" t="s">
        <v>2597</v>
      </c>
      <c r="AB256" s="204" t="s">
        <v>2597</v>
      </c>
      <c r="AC256" s="204" t="s">
        <v>2597</v>
      </c>
    </row>
    <row r="257" spans="1:29" ht="15">
      <c r="A257" s="182" t="s">
        <v>1649</v>
      </c>
      <c r="B257" s="182" t="s">
        <v>1830</v>
      </c>
      <c r="C257" s="182"/>
      <c r="D257" s="183">
        <v>1.2076</v>
      </c>
      <c r="E257" s="183">
        <v>609.28769802701743</v>
      </c>
      <c r="F257" s="183">
        <v>748.72388937259177</v>
      </c>
      <c r="G257" s="184">
        <v>0</v>
      </c>
      <c r="H257" s="184">
        <v>0</v>
      </c>
      <c r="I257" s="184">
        <v>0</v>
      </c>
      <c r="J257" s="177" t="b">
        <f>IF(ISBLANK(CertifiedCrop[[#This Row],[1. Identifiant interne d’exploitation agricole*]]),"",IF(ISERROR(MATCH(CertifiedCrop[[#This Row],[1. Identifiant interne d’exploitation agricole*]],GroupMember[1. Identifiant interne d’exploitation agricole*],0)),FALSE,TRUE))</f>
        <v>1</v>
      </c>
      <c r="K257" s="177" t="b">
        <f t="array" ref="K257">IF(ISBLANK(CertifiedCrop[[#This Row],[2. Produit agricole certifié*]]),"",IF(ISERROR(MATCH(1,(#REF!=CertifiedCrop[[#This Row],[2. Produit agricole certifié*]])*(#REF!=CertifiedCrop[[#This Row],[3. Variété**]]),0)),FALSE,TRUE))</f>
        <v>0</v>
      </c>
      <c r="L257" s="185" t="str">
        <f t="shared" si="15"/>
        <v/>
      </c>
      <c r="M257" s="186" t="str">
        <f t="shared" si="16"/>
        <v/>
      </c>
      <c r="N257" s="187" t="str">
        <f t="shared" si="17"/>
        <v/>
      </c>
      <c r="O257" s="188">
        <f t="shared" si="18"/>
        <v>504.54430111545003</v>
      </c>
      <c r="P257" s="188">
        <f t="shared" si="19"/>
        <v>620.00984545593883</v>
      </c>
      <c r="Q257" s="178" t="str">
        <f>IFERROR((VLOOKUP(A257,GM_Table,8,FALSE)-SUMIFS(D:D,A:A,A257,B:B,B257,C:C,C257)),"")</f>
        <v/>
      </c>
      <c r="R257" s="178" t="str">
        <f>IFERROR(CONCATENATE(VLOOKUP(A257,GM_Table,12,FALSE)," ",(VLOOKUP(A257,GM_Table,13,FALSE))),"")</f>
        <v/>
      </c>
      <c r="T257" s="203">
        <v>620.00984545593883</v>
      </c>
      <c r="U257" s="203">
        <v>0</v>
      </c>
      <c r="V257" s="204" t="s">
        <v>2597</v>
      </c>
      <c r="W257" s="203">
        <v>553.58021915708821</v>
      </c>
      <c r="X257" s="205">
        <v>-10.714285714285719</v>
      </c>
      <c r="Y257" s="204" t="s">
        <v>2597</v>
      </c>
      <c r="Z257" s="204" t="s">
        <v>2597</v>
      </c>
      <c r="AA257" s="204" t="s">
        <v>2597</v>
      </c>
      <c r="AB257" s="204" t="s">
        <v>2597</v>
      </c>
      <c r="AC257" s="204" t="s">
        <v>2597</v>
      </c>
    </row>
    <row r="258" spans="1:29" ht="15">
      <c r="A258" s="182" t="s">
        <v>1652</v>
      </c>
      <c r="B258" s="182" t="s">
        <v>1830</v>
      </c>
      <c r="C258" s="182"/>
      <c r="D258" s="183">
        <v>0.52910000000000001</v>
      </c>
      <c r="E258" s="183">
        <v>267.48361904603678</v>
      </c>
      <c r="F258" s="183">
        <v>286.82530749823144</v>
      </c>
      <c r="G258" s="184">
        <v>0</v>
      </c>
      <c r="H258" s="184">
        <v>0</v>
      </c>
      <c r="I258" s="184">
        <v>0</v>
      </c>
      <c r="J258" s="177" t="b">
        <f>IF(ISBLANK(CertifiedCrop[[#This Row],[1. Identifiant interne d’exploitation agricole*]]),"",IF(ISERROR(MATCH(CertifiedCrop[[#This Row],[1. Identifiant interne d’exploitation agricole*]],GroupMember[1. Identifiant interne d’exploitation agricole*],0)),FALSE,TRUE))</f>
        <v>1</v>
      </c>
      <c r="K258" s="177" t="b">
        <f t="array" ref="K258">IF(ISBLANK(CertifiedCrop[[#This Row],[2. Produit agricole certifié*]]),"",IF(ISERROR(MATCH(1,(#REF!=CertifiedCrop[[#This Row],[2. Produit agricole certifié*]])*(#REF!=CertifiedCrop[[#This Row],[3. Variété**]]),0)),FALSE,TRUE))</f>
        <v>0</v>
      </c>
      <c r="L258" s="185" t="str">
        <f t="shared" si="15"/>
        <v/>
      </c>
      <c r="M258" s="186" t="str">
        <f t="shared" si="16"/>
        <v/>
      </c>
      <c r="N258" s="187" t="str">
        <f t="shared" si="17"/>
        <v/>
      </c>
      <c r="O258" s="188">
        <f t="shared" si="18"/>
        <v>505.54454554155507</v>
      </c>
      <c r="P258" s="188">
        <f t="shared" si="19"/>
        <v>542.10037327203065</v>
      </c>
      <c r="Q258" s="178" t="str">
        <f>IFERROR((VLOOKUP(A258,GM_Table,8,FALSE)-SUMIFS(D:D,A:A,A258,B:B,B258,C:C,C258)),"")</f>
        <v/>
      </c>
      <c r="R258" s="178" t="str">
        <f>IFERROR(CONCATENATE(VLOOKUP(A258,GM_Table,12,FALSE)," ",(VLOOKUP(A258,GM_Table,13,FALSE))),"")</f>
        <v/>
      </c>
      <c r="T258" s="203">
        <v>542.10037327203065</v>
      </c>
      <c r="U258" s="203">
        <v>0</v>
      </c>
      <c r="V258" s="204" t="s">
        <v>2597</v>
      </c>
      <c r="W258" s="203">
        <v>484.01819042145593</v>
      </c>
      <c r="X258" s="205">
        <v>-10.714285714285717</v>
      </c>
      <c r="Y258" s="204" t="s">
        <v>2597</v>
      </c>
      <c r="Z258" s="204" t="s">
        <v>2597</v>
      </c>
      <c r="AA258" s="204" t="s">
        <v>2597</v>
      </c>
      <c r="AB258" s="204" t="s">
        <v>2597</v>
      </c>
      <c r="AC258" s="204" t="s">
        <v>2597</v>
      </c>
    </row>
    <row r="259" spans="1:29" ht="15">
      <c r="A259" s="182" t="s">
        <v>1657</v>
      </c>
      <c r="B259" s="182" t="s">
        <v>1830</v>
      </c>
      <c r="C259" s="182"/>
      <c r="D259" s="183">
        <v>1.5265</v>
      </c>
      <c r="E259" s="183">
        <v>771.72231193501057</v>
      </c>
      <c r="F259" s="183">
        <v>946.82173709747133</v>
      </c>
      <c r="G259" s="184">
        <v>0</v>
      </c>
      <c r="H259" s="184">
        <v>0</v>
      </c>
      <c r="I259" s="184">
        <v>0</v>
      </c>
      <c r="J259" s="177" t="b">
        <f>IF(ISBLANK(CertifiedCrop[[#This Row],[1. Identifiant interne d’exploitation agricole*]]),"",IF(ISERROR(MATCH(CertifiedCrop[[#This Row],[1. Identifiant interne d’exploitation agricole*]],GroupMember[1. Identifiant interne d’exploitation agricole*],0)),FALSE,TRUE))</f>
        <v>1</v>
      </c>
      <c r="K259" s="177" t="b">
        <f t="array" ref="K259">IF(ISBLANK(CertifiedCrop[[#This Row],[2. Produit agricole certifié*]]),"",IF(ISERROR(MATCH(1,(#REF!=CertifiedCrop[[#This Row],[2. Produit agricole certifié*]])*(#REF!=CertifiedCrop[[#This Row],[3. Variété**]]),0)),FALSE,TRUE))</f>
        <v>0</v>
      </c>
      <c r="L259" s="185" t="str">
        <f t="shared" ref="L259:L307" si="20">IF((F259-G259)&lt;0,"!","")</f>
        <v/>
      </c>
      <c r="M259" s="186" t="str">
        <f t="shared" ref="M259:M307" si="21">IFERROR(IF((F259-G259)/G259&gt;25%,"!",IF((F259-G259)/G259&lt;-25%,"!","")),"")</f>
        <v/>
      </c>
      <c r="N259" s="187" t="str">
        <f t="shared" ref="N259:N307" si="22">IFERROR(IF((G259-H259)/H259&gt;25%,"!",IF((G259-H259)/H259&lt;-25%,"!","")),"")</f>
        <v/>
      </c>
      <c r="O259" s="188">
        <f t="shared" ref="O259:O307" si="23">IFERROR(E259/D259,"")</f>
        <v>505.55015521454999</v>
      </c>
      <c r="P259" s="188">
        <f t="shared" ref="P259:P307" si="24">IFERROR(F259/D259,"")</f>
        <v>620.25662436781613</v>
      </c>
      <c r="Q259" s="178" t="str">
        <f>IFERROR((VLOOKUP(A259,GM_Table,8,FALSE)-SUMIFS(D:D,A:A,A259,B:B,B259,C:C,C259)),"")</f>
        <v/>
      </c>
      <c r="R259" s="178" t="str">
        <f>IFERROR(CONCATENATE(VLOOKUP(A259,GM_Table,12,FALSE)," ",(VLOOKUP(A259,GM_Table,13,FALSE))),"")</f>
        <v/>
      </c>
      <c r="T259" s="203">
        <v>620.25662436781613</v>
      </c>
      <c r="U259" s="203">
        <v>0</v>
      </c>
      <c r="V259" s="204" t="s">
        <v>2597</v>
      </c>
      <c r="W259" s="203">
        <v>553.80055747126437</v>
      </c>
      <c r="X259" s="205">
        <v>-10.714285714285719</v>
      </c>
      <c r="Y259" s="204" t="s">
        <v>2597</v>
      </c>
      <c r="Z259" s="204" t="s">
        <v>2597</v>
      </c>
      <c r="AA259" s="204" t="s">
        <v>2597</v>
      </c>
      <c r="AB259" s="204" t="s">
        <v>2597</v>
      </c>
      <c r="AC259" s="204" t="s">
        <v>2597</v>
      </c>
    </row>
    <row r="260" spans="1:29" ht="15">
      <c r="A260" s="182" t="s">
        <v>1660</v>
      </c>
      <c r="B260" s="182" t="s">
        <v>1830</v>
      </c>
      <c r="C260" s="182"/>
      <c r="D260" s="183">
        <v>1.1449</v>
      </c>
      <c r="E260" s="183">
        <v>578.18594900000005</v>
      </c>
      <c r="F260" s="183">
        <v>709.79372147941149</v>
      </c>
      <c r="G260" s="184">
        <v>0</v>
      </c>
      <c r="H260" s="184">
        <v>0</v>
      </c>
      <c r="I260" s="184">
        <v>0</v>
      </c>
      <c r="J260" s="177" t="b">
        <f>IF(ISBLANK(CertifiedCrop[[#This Row],[1. Identifiant interne d’exploitation agricole*]]),"",IF(ISERROR(MATCH(CertifiedCrop[[#This Row],[1. Identifiant interne d’exploitation agricole*]],GroupMember[1. Identifiant interne d’exploitation agricole*],0)),FALSE,TRUE))</f>
        <v>1</v>
      </c>
      <c r="K260" s="177" t="b">
        <f t="array" ref="K260">IF(ISBLANK(CertifiedCrop[[#This Row],[2. Produit agricole certifié*]]),"",IF(ISERROR(MATCH(1,(#REF!=CertifiedCrop[[#This Row],[2. Produit agricole certifié*]])*(#REF!=CertifiedCrop[[#This Row],[3. Variété**]]),0)),FALSE,TRUE))</f>
        <v>0</v>
      </c>
      <c r="L260" s="185" t="str">
        <f t="shared" si="20"/>
        <v/>
      </c>
      <c r="M260" s="186" t="str">
        <f t="shared" si="21"/>
        <v/>
      </c>
      <c r="N260" s="187" t="str">
        <f t="shared" si="22"/>
        <v/>
      </c>
      <c r="O260" s="188">
        <f t="shared" si="23"/>
        <v>505.01000000000005</v>
      </c>
      <c r="P260" s="188">
        <f t="shared" si="24"/>
        <v>619.96132542528733</v>
      </c>
      <c r="Q260" s="178" t="str">
        <f>IFERROR((VLOOKUP(A260,GM_Table,8,FALSE)-SUMIFS(D:D,A:A,A260,B:B,B260,C:C,C260)),"")</f>
        <v/>
      </c>
      <c r="R260" s="178" t="str">
        <f>IFERROR(CONCATENATE(VLOOKUP(A260,GM_Table,12,FALSE)," ",(VLOOKUP(A260,GM_Table,13,FALSE))),"")</f>
        <v/>
      </c>
      <c r="T260" s="203">
        <v>619.96132542528733</v>
      </c>
      <c r="U260" s="203">
        <v>0</v>
      </c>
      <c r="V260" s="204" t="s">
        <v>2597</v>
      </c>
      <c r="W260" s="203">
        <v>553.53689770114943</v>
      </c>
      <c r="X260" s="205">
        <v>-10.71428571428571</v>
      </c>
      <c r="Y260" s="204" t="s">
        <v>2597</v>
      </c>
      <c r="Z260" s="204" t="s">
        <v>2597</v>
      </c>
      <c r="AA260" s="204" t="s">
        <v>2597</v>
      </c>
      <c r="AB260" s="204" t="s">
        <v>2597</v>
      </c>
      <c r="AC260" s="204" t="s">
        <v>2597</v>
      </c>
    </row>
    <row r="261" spans="1:29" ht="15">
      <c r="A261" s="182" t="s">
        <v>1665</v>
      </c>
      <c r="B261" s="182" t="s">
        <v>1830</v>
      </c>
      <c r="C261" s="182"/>
      <c r="D261" s="183">
        <v>1.4474</v>
      </c>
      <c r="E261" s="183">
        <v>731.58909061669544</v>
      </c>
      <c r="F261" s="183">
        <v>897.6708411995138</v>
      </c>
      <c r="G261" s="184">
        <v>0</v>
      </c>
      <c r="H261" s="184">
        <v>0</v>
      </c>
      <c r="I261" s="184">
        <v>0</v>
      </c>
      <c r="J261" s="177" t="b">
        <f>IF(ISBLANK(CertifiedCrop[[#This Row],[1. Identifiant interne d’exploitation agricole*]]),"",IF(ISERROR(MATCH(CertifiedCrop[[#This Row],[1. Identifiant interne d’exploitation agricole*]],GroupMember[1. Identifiant interne d’exploitation agricole*],0)),FALSE,TRUE))</f>
        <v>1</v>
      </c>
      <c r="K261" s="177" t="b">
        <f t="array" ref="K261">IF(ISBLANK(CertifiedCrop[[#This Row],[2. Produit agricole certifié*]]),"",IF(ISERROR(MATCH(1,(#REF!=CertifiedCrop[[#This Row],[2. Produit agricole certifié*]])*(#REF!=CertifiedCrop[[#This Row],[3. Variété**]]),0)),FALSE,TRUE))</f>
        <v>0</v>
      </c>
      <c r="L261" s="185" t="str">
        <f t="shared" si="20"/>
        <v/>
      </c>
      <c r="M261" s="186" t="str">
        <f t="shared" si="21"/>
        <v/>
      </c>
      <c r="N261" s="187" t="str">
        <f t="shared" si="22"/>
        <v/>
      </c>
      <c r="O261" s="188">
        <f t="shared" si="23"/>
        <v>505.45052550552401</v>
      </c>
      <c r="P261" s="188">
        <f t="shared" si="24"/>
        <v>620.19541329246499</v>
      </c>
      <c r="Q261" s="178" t="str">
        <f>IFERROR((VLOOKUP(A261,GM_Table,8,FALSE)-SUMIFS(D:D,A:A,A261,B:B,B261,C:C,C261)),"")</f>
        <v/>
      </c>
      <c r="R261" s="178" t="str">
        <f>IFERROR(CONCATENATE(VLOOKUP(A261,GM_Table,12,FALSE)," ",(VLOOKUP(A261,GM_Table,13,FALSE))),"")</f>
        <v/>
      </c>
      <c r="T261" s="203">
        <v>620.19541329246499</v>
      </c>
      <c r="U261" s="203">
        <v>0</v>
      </c>
      <c r="V261" s="204" t="s">
        <v>2597</v>
      </c>
      <c r="W261" s="203">
        <v>553.74590472541513</v>
      </c>
      <c r="X261" s="205">
        <v>-10.714285714285721</v>
      </c>
      <c r="Y261" s="204" t="s">
        <v>2597</v>
      </c>
      <c r="Z261" s="204" t="s">
        <v>2597</v>
      </c>
      <c r="AA261" s="204" t="s">
        <v>2597</v>
      </c>
      <c r="AB261" s="204" t="s">
        <v>2597</v>
      </c>
      <c r="AC261" s="204" t="s">
        <v>2597</v>
      </c>
    </row>
    <row r="262" spans="1:29" ht="15">
      <c r="A262" s="182" t="s">
        <v>1669</v>
      </c>
      <c r="B262" s="182" t="s">
        <v>1830</v>
      </c>
      <c r="C262" s="182"/>
      <c r="D262" s="183">
        <v>1.9128000000000001</v>
      </c>
      <c r="E262" s="183">
        <v>967.01709610576165</v>
      </c>
      <c r="F262" s="183">
        <v>1186.9986758911018</v>
      </c>
      <c r="G262" s="184">
        <v>0</v>
      </c>
      <c r="H262" s="184">
        <v>0</v>
      </c>
      <c r="I262" s="184">
        <v>0</v>
      </c>
      <c r="J262" s="177" t="b">
        <f>IF(ISBLANK(CertifiedCrop[[#This Row],[1. Identifiant interne d’exploitation agricole*]]),"",IF(ISERROR(MATCH(CertifiedCrop[[#This Row],[1. Identifiant interne d’exploitation agricole*]],GroupMember[1. Identifiant interne d’exploitation agricole*],0)),FALSE,TRUE))</f>
        <v>1</v>
      </c>
      <c r="K262" s="177" t="b">
        <f t="array" ref="K262">IF(ISBLANK(CertifiedCrop[[#This Row],[2. Produit agricole certifié*]]),"",IF(ISERROR(MATCH(1,(#REF!=CertifiedCrop[[#This Row],[2. Produit agricole certifié*]])*(#REF!=CertifiedCrop[[#This Row],[3. Variété**]]),0)),FALSE,TRUE))</f>
        <v>0</v>
      </c>
      <c r="L262" s="185" t="str">
        <f t="shared" si="20"/>
        <v/>
      </c>
      <c r="M262" s="186" t="str">
        <f t="shared" si="21"/>
        <v/>
      </c>
      <c r="N262" s="187" t="str">
        <f t="shared" si="22"/>
        <v/>
      </c>
      <c r="O262" s="188">
        <f t="shared" si="23"/>
        <v>505.55055212555499</v>
      </c>
      <c r="P262" s="188">
        <f t="shared" si="24"/>
        <v>620.55556037803308</v>
      </c>
      <c r="Q262" s="178" t="str">
        <f>IFERROR((VLOOKUP(A262,GM_Table,8,FALSE)-SUMIFS(D:D,A:A,A262,B:B,B262,C:C,C262)),"")</f>
        <v/>
      </c>
      <c r="R262" s="178" t="str">
        <f>IFERROR(CONCATENATE(VLOOKUP(A262,GM_Table,12,FALSE)," ",(VLOOKUP(A262,GM_Table,13,FALSE))),"")</f>
        <v/>
      </c>
      <c r="T262" s="203">
        <v>620.55556037803308</v>
      </c>
      <c r="U262" s="203">
        <v>0</v>
      </c>
      <c r="V262" s="204" t="s">
        <v>2597</v>
      </c>
      <c r="W262" s="203">
        <v>554.06746462324384</v>
      </c>
      <c r="X262" s="205">
        <v>-10.714285714285712</v>
      </c>
      <c r="Y262" s="204" t="s">
        <v>2597</v>
      </c>
      <c r="Z262" s="204" t="s">
        <v>2597</v>
      </c>
      <c r="AA262" s="204" t="s">
        <v>2597</v>
      </c>
      <c r="AB262" s="204" t="s">
        <v>2597</v>
      </c>
      <c r="AC262" s="204" t="s">
        <v>2597</v>
      </c>
    </row>
    <row r="263" spans="1:29" ht="15">
      <c r="A263" s="182" t="s">
        <v>1673</v>
      </c>
      <c r="B263" s="182" t="s">
        <v>1830</v>
      </c>
      <c r="C263" s="182"/>
      <c r="D263" s="183">
        <v>1.2091000000000001</v>
      </c>
      <c r="E263" s="183">
        <v>611.22604946292108</v>
      </c>
      <c r="F263" s="183">
        <v>749.65530762328899</v>
      </c>
      <c r="G263" s="184">
        <v>0</v>
      </c>
      <c r="H263" s="184">
        <v>0</v>
      </c>
      <c r="I263" s="184">
        <v>0</v>
      </c>
      <c r="J263" s="177" t="b">
        <f>IF(ISBLANK(CertifiedCrop[[#This Row],[1. Identifiant interne d’exploitation agricole*]]),"",IF(ISERROR(MATCH(CertifiedCrop[[#This Row],[1. Identifiant interne d’exploitation agricole*]],GroupMember[1. Identifiant interne d’exploitation agricole*],0)),FALSE,TRUE))</f>
        <v>1</v>
      </c>
      <c r="K263" s="177" t="b">
        <f t="array" ref="K263">IF(ISBLANK(CertifiedCrop[[#This Row],[2. Produit agricole certifié*]]),"",IF(ISERROR(MATCH(1,(#REF!=CertifiedCrop[[#This Row],[2. Produit agricole certifié*]])*(#REF!=CertifiedCrop[[#This Row],[3. Variété**]]),0)),FALSE,TRUE))</f>
        <v>0</v>
      </c>
      <c r="L263" s="185" t="str">
        <f t="shared" si="20"/>
        <v/>
      </c>
      <c r="M263" s="186" t="str">
        <f t="shared" si="21"/>
        <v/>
      </c>
      <c r="N263" s="187" t="str">
        <f t="shared" si="22"/>
        <v/>
      </c>
      <c r="O263" s="188">
        <f t="shared" si="23"/>
        <v>505.52150315352003</v>
      </c>
      <c r="P263" s="188">
        <f t="shared" si="24"/>
        <v>620.01100622222225</v>
      </c>
      <c r="Q263" s="178" t="str">
        <f>IFERROR((VLOOKUP(A263,GM_Table,8,FALSE)-SUMIFS(D:D,A:A,A263,B:B,B263,C:C,C263)),"")</f>
        <v/>
      </c>
      <c r="R263" s="178" t="str">
        <f>IFERROR(CONCATENATE(VLOOKUP(A263,GM_Table,12,FALSE)," ",(VLOOKUP(A263,GM_Table,13,FALSE))),"")</f>
        <v/>
      </c>
      <c r="T263" s="203">
        <v>620.01100622222225</v>
      </c>
      <c r="U263" s="203">
        <v>0</v>
      </c>
      <c r="V263" s="204" t="s">
        <v>2597</v>
      </c>
      <c r="W263" s="203">
        <v>553.58125555555557</v>
      </c>
      <c r="X263" s="205">
        <v>-10.714285714285715</v>
      </c>
      <c r="Y263" s="204" t="s">
        <v>2597</v>
      </c>
      <c r="Z263" s="204" t="s">
        <v>2597</v>
      </c>
      <c r="AA263" s="204" t="s">
        <v>2597</v>
      </c>
      <c r="AB263" s="204" t="s">
        <v>2597</v>
      </c>
      <c r="AC263" s="204" t="s">
        <v>2597</v>
      </c>
    </row>
    <row r="264" spans="1:29" ht="15">
      <c r="A264" s="182" t="s">
        <v>1677</v>
      </c>
      <c r="B264" s="182" t="s">
        <v>1830</v>
      </c>
      <c r="C264" s="182"/>
      <c r="D264" s="183">
        <v>0.88929999999999998</v>
      </c>
      <c r="E264" s="183">
        <v>454.44248271048201</v>
      </c>
      <c r="F264" s="183">
        <v>551.91999999999996</v>
      </c>
      <c r="G264" s="184">
        <v>0</v>
      </c>
      <c r="H264" s="184">
        <v>0</v>
      </c>
      <c r="I264" s="184">
        <v>0</v>
      </c>
      <c r="J264" s="177" t="b">
        <f>IF(ISBLANK(CertifiedCrop[[#This Row],[1. Identifiant interne d’exploitation agricole*]]),"",IF(ISERROR(MATCH(CertifiedCrop[[#This Row],[1. Identifiant interne d’exploitation agricole*]],GroupMember[1. Identifiant interne d’exploitation agricole*],0)),FALSE,TRUE))</f>
        <v>1</v>
      </c>
      <c r="K264" s="177" t="b">
        <f t="array" ref="K264">IF(ISBLANK(CertifiedCrop[[#This Row],[2. Produit agricole certifié*]]),"",IF(ISERROR(MATCH(1,(#REF!=CertifiedCrop[[#This Row],[2. Produit agricole certifié*]])*(#REF!=CertifiedCrop[[#This Row],[3. Variété**]]),0)),FALSE,TRUE))</f>
        <v>0</v>
      </c>
      <c r="L264" s="185" t="str">
        <f t="shared" si="20"/>
        <v/>
      </c>
      <c r="M264" s="186" t="str">
        <f t="shared" si="21"/>
        <v/>
      </c>
      <c r="N264" s="187" t="str">
        <f t="shared" si="22"/>
        <v/>
      </c>
      <c r="O264" s="188">
        <f t="shared" si="23"/>
        <v>511.01145025354998</v>
      </c>
      <c r="P264" s="188">
        <f t="shared" si="24"/>
        <v>620.62296188013045</v>
      </c>
      <c r="Q264" s="178" t="str">
        <f>IFERROR((VLOOKUP(A264,GM_Table,8,FALSE)-SUMIFS(D:D,A:A,A264,B:B,B264,C:C,C264)),"")</f>
        <v/>
      </c>
      <c r="R264" s="178" t="str">
        <f>IFERROR(CONCATENATE(VLOOKUP(A264,GM_Table,12,FALSE)," ",(VLOOKUP(A264,GM_Table,13,FALSE))),"")</f>
        <v/>
      </c>
      <c r="T264" s="203">
        <v>542.37911194891444</v>
      </c>
      <c r="U264" s="203">
        <v>0</v>
      </c>
      <c r="V264" s="204" t="s">
        <v>2597</v>
      </c>
      <c r="W264" s="203">
        <v>484.26706424010217</v>
      </c>
      <c r="X264" s="205">
        <v>-10.714285714285717</v>
      </c>
      <c r="Y264" s="204" t="s">
        <v>2597</v>
      </c>
      <c r="Z264" s="204" t="s">
        <v>2597</v>
      </c>
      <c r="AA264" s="204" t="s">
        <v>2597</v>
      </c>
      <c r="AB264" s="204" t="s">
        <v>2597</v>
      </c>
      <c r="AC264" s="204" t="s">
        <v>2597</v>
      </c>
    </row>
    <row r="265" spans="1:29" ht="15">
      <c r="A265" s="182" t="s">
        <v>1680</v>
      </c>
      <c r="B265" s="182" t="s">
        <v>1830</v>
      </c>
      <c r="C265" s="182"/>
      <c r="D265" s="183">
        <v>2.9660000000000002</v>
      </c>
      <c r="E265" s="183">
        <v>1529.1348028707894</v>
      </c>
      <c r="F265" s="183">
        <v>1842.985119749068</v>
      </c>
      <c r="G265" s="184">
        <v>0</v>
      </c>
      <c r="H265" s="184">
        <v>0</v>
      </c>
      <c r="I265" s="184">
        <v>0</v>
      </c>
      <c r="J265" s="177" t="b">
        <f>IF(ISBLANK(CertifiedCrop[[#This Row],[1. Identifiant interne d’exploitation agricole*]]),"",IF(ISERROR(MATCH(CertifiedCrop[[#This Row],[1. Identifiant interne d’exploitation agricole*]],GroupMember[1. Identifiant interne d’exploitation agricole*],0)),FALSE,TRUE))</f>
        <v>1</v>
      </c>
      <c r="K265" s="177" t="b">
        <f t="array" ref="K265">IF(ISBLANK(CertifiedCrop[[#This Row],[2. Produit agricole certifié*]]),"",IF(ISERROR(MATCH(1,(#REF!=CertifiedCrop[[#This Row],[2. Produit agricole certifié*]])*(#REF!=CertifiedCrop[[#This Row],[3. Variété**]]),0)),FALSE,TRUE))</f>
        <v>0</v>
      </c>
      <c r="L265" s="185" t="str">
        <f t="shared" si="20"/>
        <v/>
      </c>
      <c r="M265" s="186" t="str">
        <f t="shared" si="21"/>
        <v/>
      </c>
      <c r="N265" s="187" t="str">
        <f t="shared" si="22"/>
        <v/>
      </c>
      <c r="O265" s="188">
        <f t="shared" si="23"/>
        <v>515.55455255252502</v>
      </c>
      <c r="P265" s="188">
        <f t="shared" si="24"/>
        <v>621.37057307790553</v>
      </c>
      <c r="Q265" s="178" t="str">
        <f>IFERROR((VLOOKUP(A265,GM_Table,8,FALSE)-SUMIFS(D:D,A:A,A265,B:B,B265,C:C,C265)),"")</f>
        <v/>
      </c>
      <c r="R265" s="178" t="str">
        <f>IFERROR(CONCATENATE(VLOOKUP(A265,GM_Table,12,FALSE)," ",(VLOOKUP(A265,GM_Table,13,FALSE))),"")</f>
        <v/>
      </c>
      <c r="T265" s="203">
        <v>621.37057307790553</v>
      </c>
      <c r="U265" s="203">
        <v>0</v>
      </c>
      <c r="V265" s="204" t="s">
        <v>2597</v>
      </c>
      <c r="W265" s="203">
        <v>554.7951545338442</v>
      </c>
      <c r="X265" s="205">
        <v>-10.714285714285719</v>
      </c>
      <c r="Y265" s="204" t="s">
        <v>2597</v>
      </c>
      <c r="Z265" s="204" t="s">
        <v>2597</v>
      </c>
      <c r="AA265" s="204" t="s">
        <v>2597</v>
      </c>
      <c r="AB265" s="204" t="s">
        <v>2597</v>
      </c>
      <c r="AC265" s="204" t="s">
        <v>2597</v>
      </c>
    </row>
    <row r="266" spans="1:29" ht="15">
      <c r="A266" s="182" t="s">
        <v>1684</v>
      </c>
      <c r="B266" s="182" t="s">
        <v>1830</v>
      </c>
      <c r="C266" s="182"/>
      <c r="D266" s="183">
        <v>0.36070000000000002</v>
      </c>
      <c r="E266" s="183">
        <v>189.44155731907438</v>
      </c>
      <c r="F266" s="183">
        <v>217.89</v>
      </c>
      <c r="G266" s="184">
        <v>0</v>
      </c>
      <c r="H266" s="184">
        <v>0</v>
      </c>
      <c r="I266" s="184">
        <v>0</v>
      </c>
      <c r="J266" s="177" t="b">
        <f>IF(ISBLANK(CertifiedCrop[[#This Row],[1. Identifiant interne d’exploitation agricole*]]),"",IF(ISERROR(MATCH(CertifiedCrop[[#This Row],[1. Identifiant interne d’exploitation agricole*]],GroupMember[1. Identifiant interne d’exploitation agricole*],0)),FALSE,TRUE))</f>
        <v>1</v>
      </c>
      <c r="K266" s="177" t="b">
        <f t="array" ref="K266">IF(ISBLANK(CertifiedCrop[[#This Row],[2. Produit agricole certifié*]]),"",IF(ISERROR(MATCH(1,(#REF!=CertifiedCrop[[#This Row],[2. Produit agricole certifié*]])*(#REF!=CertifiedCrop[[#This Row],[3. Variété**]]),0)),FALSE,TRUE))</f>
        <v>0</v>
      </c>
      <c r="L266" s="185" t="str">
        <f t="shared" si="20"/>
        <v/>
      </c>
      <c r="M266" s="186" t="str">
        <f t="shared" si="21"/>
        <v/>
      </c>
      <c r="N266" s="187" t="str">
        <f t="shared" si="22"/>
        <v/>
      </c>
      <c r="O266" s="188">
        <f t="shared" si="23"/>
        <v>525.20531555052503</v>
      </c>
      <c r="P266" s="188">
        <f t="shared" si="24"/>
        <v>604.07540892708619</v>
      </c>
      <c r="Q266" s="178" t="str">
        <f>IFERROR((VLOOKUP(A266,GM_Table,8,FALSE)-SUMIFS(D:D,A:A,A266,B:B,B266,C:C,C266)),"")</f>
        <v/>
      </c>
      <c r="R266" s="178" t="str">
        <f>IFERROR(CONCATENATE(VLOOKUP(A266,GM_Table,12,FALSE)," ",(VLOOKUP(A266,GM_Table,13,FALSE))),"")</f>
        <v/>
      </c>
      <c r="T266" s="203">
        <v>155.04796340229888</v>
      </c>
      <c r="U266" s="203">
        <v>0</v>
      </c>
      <c r="V266" s="204" t="s">
        <v>2597</v>
      </c>
      <c r="W266" s="203">
        <v>138.43568160919543</v>
      </c>
      <c r="X266" s="205">
        <v>-10.714285714285712</v>
      </c>
      <c r="Y266" s="204" t="s">
        <v>2597</v>
      </c>
      <c r="Z266" s="204" t="s">
        <v>2597</v>
      </c>
      <c r="AA266" s="204" t="s">
        <v>2597</v>
      </c>
      <c r="AB266" s="204" t="s">
        <v>2597</v>
      </c>
      <c r="AC266" s="204" t="s">
        <v>2597</v>
      </c>
    </row>
    <row r="267" spans="1:29" ht="15">
      <c r="A267" s="182" t="s">
        <v>1687</v>
      </c>
      <c r="B267" s="182" t="s">
        <v>1830</v>
      </c>
      <c r="C267" s="182"/>
      <c r="D267" s="183">
        <v>1.5523</v>
      </c>
      <c r="E267" s="183">
        <v>815.75000433589491</v>
      </c>
      <c r="F267" s="183">
        <v>962.85534995519379</v>
      </c>
      <c r="G267" s="184">
        <v>0</v>
      </c>
      <c r="H267" s="184">
        <v>0</v>
      </c>
      <c r="I267" s="184">
        <v>0</v>
      </c>
      <c r="J267" s="177" t="b">
        <f>IF(ISBLANK(CertifiedCrop[[#This Row],[1. Identifiant interne d’exploitation agricole*]]),"",IF(ISERROR(MATCH(CertifiedCrop[[#This Row],[1. Identifiant interne d’exploitation agricole*]],GroupMember[1. Identifiant interne d’exploitation agricole*],0)),FALSE,TRUE))</f>
        <v>1</v>
      </c>
      <c r="K267" s="177" t="b">
        <f t="array" ref="K267">IF(ISBLANK(CertifiedCrop[[#This Row],[2. Produit agricole certifié*]]),"",IF(ISERROR(MATCH(1,(#REF!=CertifiedCrop[[#This Row],[2. Produit agricole certifié*]])*(#REF!=CertifiedCrop[[#This Row],[3. Variété**]]),0)),FALSE,TRUE))</f>
        <v>0</v>
      </c>
      <c r="L267" s="185" t="str">
        <f t="shared" si="20"/>
        <v/>
      </c>
      <c r="M267" s="186" t="str">
        <f t="shared" si="21"/>
        <v/>
      </c>
      <c r="N267" s="187" t="str">
        <f t="shared" si="22"/>
        <v/>
      </c>
      <c r="O267" s="188">
        <f t="shared" si="23"/>
        <v>525.51053555105</v>
      </c>
      <c r="P267" s="188">
        <f t="shared" si="24"/>
        <v>620.27658954789263</v>
      </c>
      <c r="Q267" s="178" t="str">
        <f>IFERROR((VLOOKUP(A267,GM_Table,8,FALSE)-SUMIFS(D:D,A:A,A267,B:B,B267,C:C,C267)),"")</f>
        <v/>
      </c>
      <c r="R267" s="178" t="str">
        <f>IFERROR(CONCATENATE(VLOOKUP(A267,GM_Table,12,FALSE)," ",(VLOOKUP(A267,GM_Table,13,FALSE))),"")</f>
        <v/>
      </c>
      <c r="T267" s="203">
        <v>620.27658954789263</v>
      </c>
      <c r="U267" s="203">
        <v>0</v>
      </c>
      <c r="V267" s="204" t="s">
        <v>2597</v>
      </c>
      <c r="W267" s="203">
        <v>553.81838352490411</v>
      </c>
      <c r="X267" s="205">
        <v>-10.714285714285717</v>
      </c>
      <c r="Y267" s="204" t="s">
        <v>2597</v>
      </c>
      <c r="Z267" s="204" t="s">
        <v>2597</v>
      </c>
      <c r="AA267" s="204" t="s">
        <v>2597</v>
      </c>
      <c r="AB267" s="204" t="s">
        <v>2597</v>
      </c>
      <c r="AC267" s="204" t="s">
        <v>2597</v>
      </c>
    </row>
    <row r="268" spans="1:29" ht="15">
      <c r="A268" s="182" t="s">
        <v>1689</v>
      </c>
      <c r="B268" s="182" t="s">
        <v>1830</v>
      </c>
      <c r="C268" s="182"/>
      <c r="D268" s="183">
        <v>1.264</v>
      </c>
      <c r="E268" s="183">
        <v>671.25419148123581</v>
      </c>
      <c r="F268" s="183">
        <v>783.74761169900376</v>
      </c>
      <c r="G268" s="184">
        <v>0</v>
      </c>
      <c r="H268" s="184">
        <v>0</v>
      </c>
      <c r="I268" s="184">
        <v>0</v>
      </c>
      <c r="J268" s="177" t="b">
        <f>IF(ISBLANK(CertifiedCrop[[#This Row],[1. Identifiant interne d’exploitation agricole*]]),"",IF(ISERROR(MATCH(CertifiedCrop[[#This Row],[1. Identifiant interne d’exploitation agricole*]],GroupMember[1. Identifiant interne d’exploitation agricole*],0)),FALSE,TRUE))</f>
        <v>1</v>
      </c>
      <c r="K268" s="177" t="b">
        <f t="array" ref="K268">IF(ISBLANK(CertifiedCrop[[#This Row],[2. Produit agricole certifié*]]),"",IF(ISERROR(MATCH(1,(#REF!=CertifiedCrop[[#This Row],[2. Produit agricole certifié*]])*(#REF!=CertifiedCrop[[#This Row],[3. Variété**]]),0)),FALSE,TRUE))</f>
        <v>0</v>
      </c>
      <c r="L268" s="185" t="str">
        <f t="shared" si="20"/>
        <v/>
      </c>
      <c r="M268" s="186" t="str">
        <f t="shared" si="21"/>
        <v/>
      </c>
      <c r="N268" s="187" t="str">
        <f t="shared" si="22"/>
        <v/>
      </c>
      <c r="O268" s="188">
        <f t="shared" si="23"/>
        <v>531.05553123515494</v>
      </c>
      <c r="P268" s="188">
        <f t="shared" si="24"/>
        <v>620.0534902681992</v>
      </c>
      <c r="Q268" s="178" t="str">
        <f>IFERROR((VLOOKUP(A268,GM_Table,8,FALSE)-SUMIFS(D:D,A:A,A268,B:B,B268,C:C,C268)),"")</f>
        <v/>
      </c>
      <c r="R268" s="178" t="str">
        <f>IFERROR(CONCATENATE(VLOOKUP(A268,GM_Table,12,FALSE)," ",(VLOOKUP(A268,GM_Table,13,FALSE))),"")</f>
        <v/>
      </c>
      <c r="T268" s="203">
        <v>620.0534902681992</v>
      </c>
      <c r="U268" s="203">
        <v>0</v>
      </c>
      <c r="V268" s="204" t="s">
        <v>2597</v>
      </c>
      <c r="W268" s="203">
        <v>553.61918773946354</v>
      </c>
      <c r="X268" s="205">
        <v>-10.714285714285719</v>
      </c>
      <c r="Y268" s="204" t="s">
        <v>2597</v>
      </c>
      <c r="Z268" s="204" t="s">
        <v>2597</v>
      </c>
      <c r="AA268" s="204" t="s">
        <v>2597</v>
      </c>
      <c r="AB268" s="204" t="s">
        <v>2597</v>
      </c>
      <c r="AC268" s="204" t="s">
        <v>2597</v>
      </c>
    </row>
    <row r="269" spans="1:29" ht="15">
      <c r="A269" s="182" t="s">
        <v>1693</v>
      </c>
      <c r="B269" s="182" t="s">
        <v>1830</v>
      </c>
      <c r="C269" s="182"/>
      <c r="D269" s="183">
        <v>2.2031000000000001</v>
      </c>
      <c r="E269" s="183">
        <v>1170.3430204749582</v>
      </c>
      <c r="F269" s="183">
        <v>1367.6408748042033</v>
      </c>
      <c r="G269" s="184">
        <v>0</v>
      </c>
      <c r="H269" s="184">
        <v>0</v>
      </c>
      <c r="I269" s="184">
        <v>0</v>
      </c>
      <c r="J269" s="177" t="b">
        <f>IF(ISBLANK(CertifiedCrop[[#This Row],[1. Identifiant interne d’exploitation agricole*]]),"",IF(ISERROR(MATCH(CertifiedCrop[[#This Row],[1. Identifiant interne d’exploitation agricole*]],GroupMember[1. Identifiant interne d’exploitation agricole*],0)),FALSE,TRUE))</f>
        <v>1</v>
      </c>
      <c r="K269" s="177" t="b">
        <f t="array" ref="K269">IF(ISBLANK(CertifiedCrop[[#This Row],[2. Produit agricole certifié*]]),"",IF(ISERROR(MATCH(1,(#REF!=CertifiedCrop[[#This Row],[2. Produit agricole certifié*]])*(#REF!=CertifiedCrop[[#This Row],[3. Variété**]]),0)),FALSE,TRUE))</f>
        <v>0</v>
      </c>
      <c r="L269" s="185" t="str">
        <f t="shared" si="20"/>
        <v/>
      </c>
      <c r="M269" s="186" t="str">
        <f t="shared" si="21"/>
        <v/>
      </c>
      <c r="N269" s="187" t="str">
        <f t="shared" si="22"/>
        <v/>
      </c>
      <c r="O269" s="188">
        <f t="shared" si="23"/>
        <v>531.22555511550001</v>
      </c>
      <c r="P269" s="188">
        <f t="shared" si="24"/>
        <v>620.7802073461047</v>
      </c>
      <c r="Q269" s="178" t="str">
        <f>IFERROR((VLOOKUP(A269,GM_Table,8,FALSE)-SUMIFS(D:D,A:A,A269,B:B,B269,C:C,C269)),"")</f>
        <v/>
      </c>
      <c r="R269" s="178" t="str">
        <f>IFERROR(CONCATENATE(VLOOKUP(A269,GM_Table,12,FALSE)," ",(VLOOKUP(A269,GM_Table,13,FALSE))),"")</f>
        <v/>
      </c>
      <c r="T269" s="203">
        <v>620.7802073461047</v>
      </c>
      <c r="U269" s="203">
        <v>0</v>
      </c>
      <c r="V269" s="204" t="s">
        <v>2597</v>
      </c>
      <c r="W269" s="203">
        <v>554.26804227330774</v>
      </c>
      <c r="X269" s="205">
        <v>-10.714285714285719</v>
      </c>
      <c r="Y269" s="204" t="s">
        <v>2597</v>
      </c>
      <c r="Z269" s="204" t="s">
        <v>2597</v>
      </c>
      <c r="AA269" s="204" t="s">
        <v>2597</v>
      </c>
      <c r="AB269" s="204" t="s">
        <v>2597</v>
      </c>
      <c r="AC269" s="204" t="s">
        <v>2597</v>
      </c>
    </row>
    <row r="270" spans="1:29" ht="15">
      <c r="A270" s="182" t="s">
        <v>1696</v>
      </c>
      <c r="B270" s="182" t="s">
        <v>1830</v>
      </c>
      <c r="C270" s="182"/>
      <c r="D270" s="183">
        <v>1.4735</v>
      </c>
      <c r="E270" s="183">
        <v>784.53891168953533</v>
      </c>
      <c r="F270" s="183">
        <v>913.88770225711392</v>
      </c>
      <c r="G270" s="184">
        <v>0</v>
      </c>
      <c r="H270" s="184">
        <v>0</v>
      </c>
      <c r="I270" s="184">
        <v>0</v>
      </c>
      <c r="J270" s="177" t="b">
        <f>IF(ISBLANK(CertifiedCrop[[#This Row],[1. Identifiant interne d’exploitation agricole*]]),"",IF(ISERROR(MATCH(CertifiedCrop[[#This Row],[1. Identifiant interne d’exploitation agricole*]],GroupMember[1. Identifiant interne d’exploitation agricole*],0)),FALSE,TRUE))</f>
        <v>1</v>
      </c>
      <c r="K270" s="177" t="b">
        <f t="array" ref="K270">IF(ISBLANK(CertifiedCrop[[#This Row],[2. Produit agricole certifié*]]),"",IF(ISERROR(MATCH(1,(#REF!=CertifiedCrop[[#This Row],[2. Produit agricole certifié*]])*(#REF!=CertifiedCrop[[#This Row],[3. Variété**]]),0)),FALSE,TRUE))</f>
        <v>0</v>
      </c>
      <c r="L270" s="185" t="str">
        <f t="shared" si="20"/>
        <v/>
      </c>
      <c r="M270" s="186" t="str">
        <f t="shared" si="21"/>
        <v/>
      </c>
      <c r="N270" s="187" t="str">
        <f t="shared" si="22"/>
        <v/>
      </c>
      <c r="O270" s="188">
        <f t="shared" si="23"/>
        <v>532.43224410555501</v>
      </c>
      <c r="P270" s="188">
        <f t="shared" si="24"/>
        <v>620.21561062579838</v>
      </c>
      <c r="Q270" s="178" t="str">
        <f>IFERROR((VLOOKUP(A270,GM_Table,8,FALSE)-SUMIFS(D:D,A:A,A270,B:B,B270,C:C,C270)),"")</f>
        <v/>
      </c>
      <c r="R270" s="178" t="str">
        <f>IFERROR(CONCATENATE(VLOOKUP(A270,GM_Table,12,FALSE)," ",(VLOOKUP(A270,GM_Table,13,FALSE))),"")</f>
        <v/>
      </c>
      <c r="T270" s="203">
        <v>620.21561062579838</v>
      </c>
      <c r="U270" s="203">
        <v>0</v>
      </c>
      <c r="V270" s="204" t="s">
        <v>2597</v>
      </c>
      <c r="W270" s="203">
        <v>553.76393805874852</v>
      </c>
      <c r="X270" s="205">
        <v>-10.714285714285719</v>
      </c>
      <c r="Y270" s="204" t="s">
        <v>2597</v>
      </c>
      <c r="Z270" s="204" t="s">
        <v>2597</v>
      </c>
      <c r="AA270" s="204" t="s">
        <v>2597</v>
      </c>
      <c r="AB270" s="204" t="s">
        <v>2597</v>
      </c>
      <c r="AC270" s="204" t="s">
        <v>2597</v>
      </c>
    </row>
    <row r="271" spans="1:29" ht="15">
      <c r="A271" s="182" t="s">
        <v>1700</v>
      </c>
      <c r="B271" s="182" t="s">
        <v>1830</v>
      </c>
      <c r="C271" s="182"/>
      <c r="D271" s="183">
        <v>5.8883999999999999</v>
      </c>
      <c r="E271" s="183">
        <v>3188.8955564442927</v>
      </c>
      <c r="F271" s="183">
        <v>3126.7549946398422</v>
      </c>
      <c r="G271" s="184">
        <v>0</v>
      </c>
      <c r="H271" s="184">
        <v>0</v>
      </c>
      <c r="I271" s="184">
        <v>0</v>
      </c>
      <c r="J271" s="177" t="b">
        <f>IF(ISBLANK(CertifiedCrop[[#This Row],[1. Identifiant interne d’exploitation agricole*]]),"",IF(ISERROR(MATCH(CertifiedCrop[[#This Row],[1. Identifiant interne d’exploitation agricole*]],GroupMember[1. Identifiant interne d’exploitation agricole*],0)),FALSE,TRUE))</f>
        <v>1</v>
      </c>
      <c r="K271" s="177" t="b">
        <f t="array" ref="K271">IF(ISBLANK(CertifiedCrop[[#This Row],[2. Produit agricole certifié*]]),"",IF(ISERROR(MATCH(1,(#REF!=CertifiedCrop[[#This Row],[2. Produit agricole certifié*]])*(#REF!=CertifiedCrop[[#This Row],[3. Variété**]]),0)),FALSE,TRUE))</f>
        <v>0</v>
      </c>
      <c r="L271" s="185" t="str">
        <f t="shared" si="20"/>
        <v/>
      </c>
      <c r="M271" s="186" t="str">
        <f t="shared" si="21"/>
        <v/>
      </c>
      <c r="N271" s="187" t="str">
        <f t="shared" si="22"/>
        <v/>
      </c>
      <c r="O271" s="188">
        <f t="shared" si="23"/>
        <v>541.55552551530002</v>
      </c>
      <c r="P271" s="188">
        <f t="shared" si="24"/>
        <v>531.00247854083318</v>
      </c>
      <c r="Q271" s="178" t="str">
        <f>IFERROR((VLOOKUP(A271,GM_Table,8,FALSE)-SUMIFS(D:D,A:A,A271,B:B,B271,C:C,C271)),"")</f>
        <v/>
      </c>
      <c r="R271" s="178" t="str">
        <f>IFERROR(CONCATENATE(VLOOKUP(A271,GM_Table,12,FALSE)," ",(VLOOKUP(A271,GM_Table,13,FALSE))),"")</f>
        <v/>
      </c>
      <c r="T271" s="203">
        <v>531.00247854083318</v>
      </c>
      <c r="U271" s="203">
        <v>0</v>
      </c>
      <c r="V271" s="204" t="s">
        <v>2597</v>
      </c>
      <c r="W271" s="203">
        <v>474.10935584002959</v>
      </c>
      <c r="X271" s="205">
        <v>-10.714285714285721</v>
      </c>
      <c r="Y271" s="204" t="s">
        <v>2597</v>
      </c>
      <c r="Z271" s="204" t="s">
        <v>2597</v>
      </c>
      <c r="AA271" s="204" t="s">
        <v>2597</v>
      </c>
      <c r="AB271" s="204" t="s">
        <v>2597</v>
      </c>
      <c r="AC271" s="204" t="s">
        <v>2597</v>
      </c>
    </row>
    <row r="272" spans="1:29" ht="15">
      <c r="A272" s="182" t="s">
        <v>1703</v>
      </c>
      <c r="B272" s="182" t="s">
        <v>1830</v>
      </c>
      <c r="C272" s="182"/>
      <c r="D272" s="183">
        <v>1.1223000000000001</v>
      </c>
      <c r="E272" s="183">
        <v>611.91774613347206</v>
      </c>
      <c r="F272" s="183">
        <v>695.76296775626656</v>
      </c>
      <c r="G272" s="184">
        <v>0</v>
      </c>
      <c r="H272" s="184">
        <v>0</v>
      </c>
      <c r="I272" s="184">
        <v>0</v>
      </c>
      <c r="J272" s="177" t="b">
        <f>IF(ISBLANK(CertifiedCrop[[#This Row],[1. Identifiant interne d’exploitation agricole*]]),"",IF(ISERROR(MATCH(CertifiedCrop[[#This Row],[1. Identifiant interne d’exploitation agricole*]],GroupMember[1. Identifiant interne d’exploitation agricole*],0)),FALSE,TRUE))</f>
        <v>1</v>
      </c>
      <c r="K272" s="177" t="b">
        <f t="array" ref="K272">IF(ISBLANK(CertifiedCrop[[#This Row],[2. Produit agricole certifié*]]),"",IF(ISERROR(MATCH(1,(#REF!=CertifiedCrop[[#This Row],[2. Produit agricole certifié*]])*(#REF!=CertifiedCrop[[#This Row],[3. Variété**]]),0)),FALSE,TRUE))</f>
        <v>0</v>
      </c>
      <c r="L272" s="185" t="str">
        <f t="shared" si="20"/>
        <v/>
      </c>
      <c r="M272" s="186" t="str">
        <f t="shared" si="21"/>
        <v/>
      </c>
      <c r="N272" s="187" t="str">
        <f t="shared" si="22"/>
        <v/>
      </c>
      <c r="O272" s="188">
        <f t="shared" si="23"/>
        <v>545.23545053325495</v>
      </c>
      <c r="P272" s="188">
        <f t="shared" si="24"/>
        <v>619.94383654661544</v>
      </c>
      <c r="Q272" s="178" t="str">
        <f>IFERROR((VLOOKUP(A272,GM_Table,8,FALSE)-SUMIFS(D:D,A:A,A272,B:B,B272,C:C,C272)),"")</f>
        <v/>
      </c>
      <c r="R272" s="178" t="str">
        <f>IFERROR(CONCATENATE(VLOOKUP(A272,GM_Table,12,FALSE)," ",(VLOOKUP(A272,GM_Table,13,FALSE))),"")</f>
        <v/>
      </c>
      <c r="T272" s="203">
        <v>619.94383654661544</v>
      </c>
      <c r="U272" s="203">
        <v>0</v>
      </c>
      <c r="V272" s="204" t="s">
        <v>2597</v>
      </c>
      <c r="W272" s="203">
        <v>553.52128263090663</v>
      </c>
      <c r="X272" s="205">
        <v>-10.714285714285717</v>
      </c>
      <c r="Y272" s="204" t="s">
        <v>2597</v>
      </c>
      <c r="Z272" s="204" t="s">
        <v>2597</v>
      </c>
      <c r="AA272" s="204" t="s">
        <v>2597</v>
      </c>
      <c r="AB272" s="204" t="s">
        <v>2597</v>
      </c>
      <c r="AC272" s="204" t="s">
        <v>2597</v>
      </c>
    </row>
    <row r="273" spans="1:29" ht="15">
      <c r="A273" s="182" t="s">
        <v>1707</v>
      </c>
      <c r="B273" s="182" t="s">
        <v>1830</v>
      </c>
      <c r="C273" s="182"/>
      <c r="D273" s="183">
        <v>1.1266</v>
      </c>
      <c r="E273" s="183">
        <v>619.24</v>
      </c>
      <c r="F273" s="183">
        <v>685.5</v>
      </c>
      <c r="G273" s="184">
        <v>0</v>
      </c>
      <c r="H273" s="184">
        <v>0</v>
      </c>
      <c r="I273" s="184">
        <v>0</v>
      </c>
      <c r="J273" s="177" t="b">
        <f>IF(ISBLANK(CertifiedCrop[[#This Row],[1. Identifiant interne d’exploitation agricole*]]),"",IF(ISERROR(MATCH(CertifiedCrop[[#This Row],[1. Identifiant interne d’exploitation agricole*]],GroupMember[1. Identifiant interne d’exploitation agricole*],0)),FALSE,TRUE))</f>
        <v>1</v>
      </c>
      <c r="K273" s="177" t="b">
        <f t="array" ref="K273">IF(ISBLANK(CertifiedCrop[[#This Row],[2. Produit agricole certifié*]]),"",IF(ISERROR(MATCH(1,(#REF!=CertifiedCrop[[#This Row],[2. Produit agricole certifié*]])*(#REF!=CertifiedCrop[[#This Row],[3. Variété**]]),0)),FALSE,TRUE))</f>
        <v>0</v>
      </c>
      <c r="L273" s="185" t="str">
        <f t="shared" si="20"/>
        <v/>
      </c>
      <c r="M273" s="186" t="str">
        <f t="shared" si="21"/>
        <v/>
      </c>
      <c r="N273" s="187" t="str">
        <f t="shared" si="22"/>
        <v/>
      </c>
      <c r="O273" s="188">
        <f t="shared" si="23"/>
        <v>549.65382567015797</v>
      </c>
      <c r="P273" s="188">
        <f t="shared" si="24"/>
        <v>608.46795668382742</v>
      </c>
      <c r="Q273" s="178" t="str">
        <f>IFERROR((VLOOKUP(A273,GM_Table,8,FALSE)-SUMIFS(D:D,A:A,A273,B:B,B273,C:C,C273)),"")</f>
        <v/>
      </c>
      <c r="R273" s="178" t="str">
        <f>IFERROR(CONCATENATE(VLOOKUP(A273,GM_Table,12,FALSE)," ",(VLOOKUP(A273,GM_Table,13,FALSE))),"")</f>
        <v/>
      </c>
      <c r="T273" s="203">
        <v>619.9471640766285</v>
      </c>
      <c r="U273" s="203">
        <v>0</v>
      </c>
      <c r="V273" s="204" t="s">
        <v>2597</v>
      </c>
      <c r="W273" s="203">
        <v>553.52425363984685</v>
      </c>
      <c r="X273" s="205">
        <v>-10.714285714285717</v>
      </c>
      <c r="Y273" s="204" t="s">
        <v>2597</v>
      </c>
      <c r="Z273" s="204" t="s">
        <v>2597</v>
      </c>
      <c r="AA273" s="204" t="s">
        <v>2597</v>
      </c>
      <c r="AB273" s="204" t="s">
        <v>2597</v>
      </c>
      <c r="AC273" s="204" t="s">
        <v>2597</v>
      </c>
    </row>
    <row r="274" spans="1:29" ht="15">
      <c r="A274" s="182" t="s">
        <v>1712</v>
      </c>
      <c r="B274" s="182" t="s">
        <v>1830</v>
      </c>
      <c r="C274" s="182"/>
      <c r="D274" s="183">
        <v>0.81799999999999995</v>
      </c>
      <c r="E274" s="183">
        <v>403.44</v>
      </c>
      <c r="F274" s="183">
        <v>443.62098035003817</v>
      </c>
      <c r="G274" s="184">
        <v>0</v>
      </c>
      <c r="H274" s="184">
        <v>0</v>
      </c>
      <c r="I274" s="184">
        <v>0</v>
      </c>
      <c r="J274" s="177" t="b">
        <f>IF(ISBLANK(CertifiedCrop[[#This Row],[1. Identifiant interne d’exploitation agricole*]]),"",IF(ISERROR(MATCH(CertifiedCrop[[#This Row],[1. Identifiant interne d’exploitation agricole*]],GroupMember[1. Identifiant interne d’exploitation agricole*],0)),FALSE,TRUE))</f>
        <v>1</v>
      </c>
      <c r="K274" s="177" t="b">
        <f t="array" ref="K274">IF(ISBLANK(CertifiedCrop[[#This Row],[2. Produit agricole certifié*]]),"",IF(ISERROR(MATCH(1,(#REF!=CertifiedCrop[[#This Row],[2. Produit agricole certifié*]])*(#REF!=CertifiedCrop[[#This Row],[3. Variété**]]),0)),FALSE,TRUE))</f>
        <v>0</v>
      </c>
      <c r="L274" s="185" t="str">
        <f t="shared" si="20"/>
        <v/>
      </c>
      <c r="M274" s="186" t="str">
        <f t="shared" si="21"/>
        <v/>
      </c>
      <c r="N274" s="187" t="str">
        <f t="shared" si="22"/>
        <v/>
      </c>
      <c r="O274" s="188">
        <f t="shared" si="23"/>
        <v>493.20293398533011</v>
      </c>
      <c r="P274" s="188">
        <f t="shared" si="24"/>
        <v>542.3239368582374</v>
      </c>
      <c r="Q274" s="178" t="str">
        <f>IFERROR((VLOOKUP(A274,GM_Table,8,FALSE)-SUMIFS(D:D,A:A,A274,B:B,B274,C:C,C274)),"")</f>
        <v/>
      </c>
      <c r="R274" s="178" t="str">
        <f>IFERROR(CONCATENATE(VLOOKUP(A274,GM_Table,12,FALSE)," ",(VLOOKUP(A274,GM_Table,13,FALSE))),"")</f>
        <v/>
      </c>
      <c r="T274" s="203">
        <v>542.3239368582374</v>
      </c>
      <c r="U274" s="203">
        <v>0</v>
      </c>
      <c r="V274" s="204" t="s">
        <v>2597</v>
      </c>
      <c r="W274" s="203">
        <v>484.21780076628335</v>
      </c>
      <c r="X274" s="205">
        <v>-10.714285714285724</v>
      </c>
      <c r="Y274" s="204" t="s">
        <v>2597</v>
      </c>
      <c r="Z274" s="204" t="s">
        <v>2597</v>
      </c>
      <c r="AA274" s="204" t="s">
        <v>2597</v>
      </c>
      <c r="AB274" s="204" t="s">
        <v>2597</v>
      </c>
      <c r="AC274" s="204" t="s">
        <v>2597</v>
      </c>
    </row>
    <row r="275" spans="1:29" ht="15">
      <c r="A275" s="182" t="s">
        <v>1717</v>
      </c>
      <c r="B275" s="182" t="s">
        <v>1830</v>
      </c>
      <c r="C275" s="182"/>
      <c r="D275" s="183">
        <v>1.0286</v>
      </c>
      <c r="E275" s="183">
        <v>559.54999999999995</v>
      </c>
      <c r="F275" s="183">
        <v>621.34</v>
      </c>
      <c r="G275" s="184">
        <v>0</v>
      </c>
      <c r="H275" s="184">
        <v>0</v>
      </c>
      <c r="I275" s="184">
        <v>0</v>
      </c>
      <c r="J275" s="177" t="b">
        <f>IF(ISBLANK(CertifiedCrop[[#This Row],[1. Identifiant interne d’exploitation agricole*]]),"",IF(ISERROR(MATCH(CertifiedCrop[[#This Row],[1. Identifiant interne d’exploitation agricole*]],GroupMember[1. Identifiant interne d’exploitation agricole*],0)),FALSE,TRUE))</f>
        <v>1</v>
      </c>
      <c r="K275" s="177" t="b">
        <f t="array" ref="K275">IF(ISBLANK(CertifiedCrop[[#This Row],[2. Produit agricole certifié*]]),"",IF(ISERROR(MATCH(1,(#REF!=CertifiedCrop[[#This Row],[2. Produit agricole certifié*]])*(#REF!=CertifiedCrop[[#This Row],[3. Variété**]]),0)),FALSE,TRUE))</f>
        <v>0</v>
      </c>
      <c r="L275" s="185" t="str">
        <f t="shared" si="20"/>
        <v/>
      </c>
      <c r="M275" s="186" t="str">
        <f t="shared" si="21"/>
        <v/>
      </c>
      <c r="N275" s="187" t="str">
        <f t="shared" si="22"/>
        <v/>
      </c>
      <c r="O275" s="188">
        <f t="shared" si="23"/>
        <v>543.99183356017886</v>
      </c>
      <c r="P275" s="188">
        <f t="shared" si="24"/>
        <v>604.06377600622216</v>
      </c>
      <c r="Q275" s="178" t="str">
        <f>IFERROR((VLOOKUP(A275,GM_Table,8,FALSE)-SUMIFS(D:D,A:A,A275,B:B,B275,C:C,C275)),"")</f>
        <v/>
      </c>
      <c r="R275" s="178" t="str">
        <f>IFERROR(CONCATENATE(VLOOKUP(A275,GM_Table,12,FALSE)," ",(VLOOKUP(A275,GM_Table,13,FALSE))),"")</f>
        <v/>
      </c>
      <c r="T275" s="203">
        <v>619.87132734610475</v>
      </c>
      <c r="U275" s="203">
        <v>0</v>
      </c>
      <c r="V275" s="204" t="s">
        <v>2597</v>
      </c>
      <c r="W275" s="203">
        <v>553.45654227330783</v>
      </c>
      <c r="X275" s="205">
        <v>-10.714285714285712</v>
      </c>
      <c r="Y275" s="204" t="s">
        <v>2597</v>
      </c>
      <c r="Z275" s="204" t="s">
        <v>2597</v>
      </c>
      <c r="AA275" s="204" t="s">
        <v>2597</v>
      </c>
      <c r="AB275" s="204" t="s">
        <v>2597</v>
      </c>
      <c r="AC275" s="204" t="s">
        <v>2597</v>
      </c>
    </row>
    <row r="276" spans="1:29" ht="15">
      <c r="A276" s="182" t="s">
        <v>1721</v>
      </c>
      <c r="B276" s="182" t="s">
        <v>1830</v>
      </c>
      <c r="C276" s="182"/>
      <c r="D276" s="183">
        <v>1.9721</v>
      </c>
      <c r="E276" s="183">
        <v>1082.5999999999999</v>
      </c>
      <c r="F276" s="183">
        <v>1200.8</v>
      </c>
      <c r="G276" s="184">
        <v>0</v>
      </c>
      <c r="H276" s="184">
        <v>0</v>
      </c>
      <c r="I276" s="184">
        <v>0</v>
      </c>
      <c r="J276" s="177" t="b">
        <f>IF(ISBLANK(CertifiedCrop[[#This Row],[1. Identifiant interne d’exploitation agricole*]]),"",IF(ISERROR(MATCH(CertifiedCrop[[#This Row],[1. Identifiant interne d’exploitation agricole*]],GroupMember[1. Identifiant interne d’exploitation agricole*],0)),FALSE,TRUE))</f>
        <v>1</v>
      </c>
      <c r="K276" s="177" t="b">
        <f t="array" ref="K276">IF(ISBLANK(CertifiedCrop[[#This Row],[2. Produit agricole certifié*]]),"",IF(ISERROR(MATCH(1,(#REF!=CertifiedCrop[[#This Row],[2. Produit agricole certifié*]])*(#REF!=CertifiedCrop[[#This Row],[3. Variété**]]),0)),FALSE,TRUE))</f>
        <v>0</v>
      </c>
      <c r="L276" s="185" t="str">
        <f t="shared" si="20"/>
        <v/>
      </c>
      <c r="M276" s="186" t="str">
        <f t="shared" si="21"/>
        <v/>
      </c>
      <c r="N276" s="187" t="str">
        <f t="shared" si="22"/>
        <v/>
      </c>
      <c r="O276" s="188">
        <f t="shared" si="23"/>
        <v>548.95796359210988</v>
      </c>
      <c r="P276" s="188">
        <f t="shared" si="24"/>
        <v>608.89407230870643</v>
      </c>
      <c r="Q276" s="178" t="str">
        <f>IFERROR((VLOOKUP(A276,GM_Table,8,FALSE)-SUMIFS(D:D,A:A,A276,B:B,B276,C:C,C276)),"")</f>
        <v/>
      </c>
      <c r="R276" s="178" t="str">
        <f>IFERROR(CONCATENATE(VLOOKUP(A276,GM_Table,12,FALSE)," ",(VLOOKUP(A276,GM_Table,13,FALSE))),"")</f>
        <v/>
      </c>
      <c r="T276" s="203">
        <v>620.60144933844185</v>
      </c>
      <c r="U276" s="203">
        <v>0</v>
      </c>
      <c r="V276" s="204" t="s">
        <v>2597</v>
      </c>
      <c r="W276" s="203">
        <v>554.10843690932313</v>
      </c>
      <c r="X276" s="205">
        <v>-10.714285714285706</v>
      </c>
      <c r="Y276" s="204" t="s">
        <v>2597</v>
      </c>
      <c r="Z276" s="204" t="s">
        <v>2597</v>
      </c>
      <c r="AA276" s="204" t="s">
        <v>2597</v>
      </c>
      <c r="AB276" s="204" t="s">
        <v>2597</v>
      </c>
      <c r="AC276" s="204" t="s">
        <v>2597</v>
      </c>
    </row>
    <row r="277" spans="1:29" ht="15">
      <c r="A277" s="182" t="s">
        <v>1726</v>
      </c>
      <c r="B277" s="182" t="s">
        <v>1830</v>
      </c>
      <c r="C277" s="182"/>
      <c r="D277" s="183">
        <v>2.0977999999999999</v>
      </c>
      <c r="E277" s="183">
        <v>1158.1500000000001</v>
      </c>
      <c r="F277" s="183">
        <v>1286.25</v>
      </c>
      <c r="G277" s="184">
        <v>0</v>
      </c>
      <c r="H277" s="184">
        <v>0</v>
      </c>
      <c r="I277" s="184">
        <v>0</v>
      </c>
      <c r="J277" s="177" t="b">
        <f>IF(ISBLANK(CertifiedCrop[[#This Row],[1. Identifiant interne d’exploitation agricole*]]),"",IF(ISERROR(MATCH(CertifiedCrop[[#This Row],[1. Identifiant interne d’exploitation agricole*]],GroupMember[1. Identifiant interne d’exploitation agricole*],0)),FALSE,TRUE))</f>
        <v>1</v>
      </c>
      <c r="K277" s="177" t="b">
        <f t="array" ref="K277">IF(ISBLANK(CertifiedCrop[[#This Row],[2. Produit agricole certifié*]]),"",IF(ISERROR(MATCH(1,(#REF!=CertifiedCrop[[#This Row],[2. Produit agricole certifié*]])*(#REF!=CertifiedCrop[[#This Row],[3. Variété**]]),0)),FALSE,TRUE))</f>
        <v>0</v>
      </c>
      <c r="L277" s="185" t="str">
        <f t="shared" si="20"/>
        <v/>
      </c>
      <c r="M277" s="186" t="str">
        <f t="shared" si="21"/>
        <v/>
      </c>
      <c r="N277" s="187" t="str">
        <f t="shared" si="22"/>
        <v/>
      </c>
      <c r="O277" s="188">
        <f t="shared" si="23"/>
        <v>552.0783678139004</v>
      </c>
      <c r="P277" s="188">
        <f t="shared" si="24"/>
        <v>613.14233959386024</v>
      </c>
      <c r="Q277" s="178" t="str">
        <f>IFERROR((VLOOKUP(A277,GM_Table,8,FALSE)-SUMIFS(D:D,A:A,A277,B:B,B277,C:C,C277)),"")</f>
        <v/>
      </c>
      <c r="R277" s="178" t="str">
        <f>IFERROR(CONCATENATE(VLOOKUP(A277,GM_Table,12,FALSE)," ",(VLOOKUP(A277,GM_Table,13,FALSE))),"")</f>
        <v/>
      </c>
      <c r="T277" s="203">
        <v>620.69872155300118</v>
      </c>
      <c r="U277" s="203">
        <v>0</v>
      </c>
      <c r="V277" s="204" t="s">
        <v>2597</v>
      </c>
      <c r="W277" s="203">
        <v>554.19528710089389</v>
      </c>
      <c r="X277" s="205">
        <v>-10.714285714285717</v>
      </c>
      <c r="Y277" s="204" t="s">
        <v>2597</v>
      </c>
      <c r="Z277" s="204" t="s">
        <v>2597</v>
      </c>
      <c r="AA277" s="204" t="s">
        <v>2597</v>
      </c>
      <c r="AB277" s="204" t="s">
        <v>2597</v>
      </c>
      <c r="AC277" s="204" t="s">
        <v>2597</v>
      </c>
    </row>
    <row r="278" spans="1:29" ht="15">
      <c r="A278" s="182" t="s">
        <v>1730</v>
      </c>
      <c r="B278" s="182" t="s">
        <v>1830</v>
      </c>
      <c r="C278" s="182"/>
      <c r="D278" s="183">
        <v>0.96599999999999997</v>
      </c>
      <c r="E278" s="183">
        <v>531.6424890621081</v>
      </c>
      <c r="F278" s="183">
        <v>598.74890662007647</v>
      </c>
      <c r="G278" s="184">
        <v>0</v>
      </c>
      <c r="H278" s="184">
        <v>0</v>
      </c>
      <c r="I278" s="184">
        <v>0</v>
      </c>
      <c r="J278" s="177" t="b">
        <f>IF(ISBLANK(CertifiedCrop[[#This Row],[1. Identifiant interne d’exploitation agricole*]]),"",IF(ISERROR(MATCH(CertifiedCrop[[#This Row],[1. Identifiant interne d’exploitation agricole*]],GroupMember[1. Identifiant interne d’exploitation agricole*],0)),FALSE,TRUE))</f>
        <v>1</v>
      </c>
      <c r="K278" s="177" t="b">
        <f t="array" ref="K278">IF(ISBLANK(CertifiedCrop[[#This Row],[2. Produit agricole certifié*]]),"",IF(ISERROR(MATCH(1,(#REF!=CertifiedCrop[[#This Row],[2. Produit agricole certifié*]])*(#REF!=CertifiedCrop[[#This Row],[3. Variété**]]),0)),FALSE,TRUE))</f>
        <v>0</v>
      </c>
      <c r="L278" s="185" t="str">
        <f t="shared" si="20"/>
        <v/>
      </c>
      <c r="M278" s="186" t="str">
        <f t="shared" si="21"/>
        <v/>
      </c>
      <c r="N278" s="187" t="str">
        <f t="shared" si="22"/>
        <v/>
      </c>
      <c r="O278" s="188">
        <f t="shared" si="23"/>
        <v>550.35454354255501</v>
      </c>
      <c r="P278" s="188">
        <f t="shared" si="24"/>
        <v>619.82288469987213</v>
      </c>
      <c r="Q278" s="178" t="str">
        <f>IFERROR((VLOOKUP(A278,GM_Table,8,FALSE)-SUMIFS(D:D,A:A,A278,B:B,B278,C:C,C278)),"")</f>
        <v/>
      </c>
      <c r="R278" s="178" t="str">
        <f>IFERROR(CONCATENATE(VLOOKUP(A278,GM_Table,12,FALSE)," ",(VLOOKUP(A278,GM_Table,13,FALSE))),"")</f>
        <v/>
      </c>
      <c r="T278" s="203">
        <v>619.82288469987213</v>
      </c>
      <c r="U278" s="203">
        <v>0</v>
      </c>
      <c r="V278" s="204" t="s">
        <v>2597</v>
      </c>
      <c r="W278" s="203">
        <v>553.41328991060016</v>
      </c>
      <c r="X278" s="205">
        <v>-10.714285714285708</v>
      </c>
      <c r="Y278" s="204" t="s">
        <v>2597</v>
      </c>
      <c r="Z278" s="204" t="s">
        <v>2597</v>
      </c>
      <c r="AA278" s="204" t="s">
        <v>2597</v>
      </c>
      <c r="AB278" s="204" t="s">
        <v>2597</v>
      </c>
      <c r="AC278" s="204" t="s">
        <v>2597</v>
      </c>
    </row>
    <row r="279" spans="1:29" ht="15">
      <c r="A279" s="182" t="s">
        <v>1734</v>
      </c>
      <c r="B279" s="182" t="s">
        <v>1830</v>
      </c>
      <c r="C279" s="182"/>
      <c r="D279" s="183">
        <v>1.9204000000000001</v>
      </c>
      <c r="E279" s="183">
        <v>1058.8231888322246</v>
      </c>
      <c r="F279" s="183">
        <v>1191.7261924368672</v>
      </c>
      <c r="G279" s="184">
        <v>0</v>
      </c>
      <c r="H279" s="184">
        <v>0</v>
      </c>
      <c r="I279" s="184">
        <v>0</v>
      </c>
      <c r="J279" s="177" t="b">
        <f>IF(ISBLANK(CertifiedCrop[[#This Row],[1. Identifiant interne d’exploitation agricole*]]),"",IF(ISERROR(MATCH(CertifiedCrop[[#This Row],[1. Identifiant interne d’exploitation agricole*]],GroupMember[1. Identifiant interne d’exploitation agricole*],0)),FALSE,TRUE))</f>
        <v>1</v>
      </c>
      <c r="K279" s="177" t="b">
        <f t="array" ref="K279">IF(ISBLANK(CertifiedCrop[[#This Row],[2. Produit agricole certifié*]]),"",IF(ISERROR(MATCH(1,(#REF!=CertifiedCrop[[#This Row],[2. Produit agricole certifié*]])*(#REF!=CertifiedCrop[[#This Row],[3. Variété**]]),0)),FALSE,TRUE))</f>
        <v>0</v>
      </c>
      <c r="L279" s="185" t="str">
        <f t="shared" si="20"/>
        <v/>
      </c>
      <c r="M279" s="186" t="str">
        <f t="shared" si="21"/>
        <v/>
      </c>
      <c r="N279" s="187" t="str">
        <f t="shared" si="22"/>
        <v/>
      </c>
      <c r="O279" s="188">
        <f t="shared" si="23"/>
        <v>551.35554511155203</v>
      </c>
      <c r="P279" s="188">
        <f t="shared" si="24"/>
        <v>620.56144159386963</v>
      </c>
      <c r="Q279" s="178" t="str">
        <f>IFERROR((VLOOKUP(A279,GM_Table,8,FALSE)-SUMIFS(D:D,A:A,A279,B:B,B279,C:C,C279)),"")</f>
        <v/>
      </c>
      <c r="R279" s="178" t="str">
        <f>IFERROR(CONCATENATE(VLOOKUP(A279,GM_Table,12,FALSE)," ",(VLOOKUP(A279,GM_Table,13,FALSE))),"")</f>
        <v/>
      </c>
      <c r="T279" s="203">
        <v>620.56144159386963</v>
      </c>
      <c r="U279" s="203">
        <v>0</v>
      </c>
      <c r="V279" s="204" t="s">
        <v>2597</v>
      </c>
      <c r="W279" s="203">
        <v>554.07271570881221</v>
      </c>
      <c r="X279" s="205">
        <v>-10.714285714285708</v>
      </c>
      <c r="Y279" s="204" t="s">
        <v>2597</v>
      </c>
      <c r="Z279" s="204" t="s">
        <v>2597</v>
      </c>
      <c r="AA279" s="204" t="s">
        <v>2597</v>
      </c>
      <c r="AB279" s="204" t="s">
        <v>2597</v>
      </c>
      <c r="AC279" s="204" t="s">
        <v>2597</v>
      </c>
    </row>
    <row r="280" spans="1:29" ht="15">
      <c r="A280" s="182" t="s">
        <v>1739</v>
      </c>
      <c r="B280" s="182" t="s">
        <v>1830</v>
      </c>
      <c r="C280" s="182"/>
      <c r="D280" s="183">
        <v>1.0807</v>
      </c>
      <c r="E280" s="183">
        <v>586.82000000000005</v>
      </c>
      <c r="F280" s="183">
        <v>649.46</v>
      </c>
      <c r="G280" s="184">
        <v>0</v>
      </c>
      <c r="H280" s="184">
        <v>0</v>
      </c>
      <c r="I280" s="184">
        <v>0</v>
      </c>
      <c r="J280" s="177" t="b">
        <f>IF(ISBLANK(CertifiedCrop[[#This Row],[1. Identifiant interne d’exploitation agricole*]]),"",IF(ISERROR(MATCH(CertifiedCrop[[#This Row],[1. Identifiant interne d’exploitation agricole*]],GroupMember[1. Identifiant interne d’exploitation agricole*],0)),FALSE,TRUE))</f>
        <v>1</v>
      </c>
      <c r="K280" s="177" t="b">
        <f t="array" ref="K280">IF(ISBLANK(CertifiedCrop[[#This Row],[2. Produit agricole certifié*]]),"",IF(ISERROR(MATCH(1,(#REF!=CertifiedCrop[[#This Row],[2. Produit agricole certifié*]])*(#REF!=CertifiedCrop[[#This Row],[3. Variété**]]),0)),FALSE,TRUE))</f>
        <v>0</v>
      </c>
      <c r="L280" s="185" t="str">
        <f t="shared" si="20"/>
        <v/>
      </c>
      <c r="M280" s="186" t="str">
        <f t="shared" si="21"/>
        <v/>
      </c>
      <c r="N280" s="187" t="str">
        <f t="shared" si="22"/>
        <v/>
      </c>
      <c r="O280" s="188">
        <f t="shared" si="23"/>
        <v>542.99990746738229</v>
      </c>
      <c r="P280" s="188">
        <f t="shared" si="24"/>
        <v>600.96233922457668</v>
      </c>
      <c r="Q280" s="178" t="str">
        <f>IFERROR((VLOOKUP(A280,GM_Table,8,FALSE)-SUMIFS(D:D,A:A,A280,B:B,B280,C:C,C280)),"")</f>
        <v/>
      </c>
      <c r="R280" s="178" t="str">
        <f>IFERROR(CONCATENATE(VLOOKUP(A280,GM_Table,12,FALSE)," ",(VLOOKUP(A280,GM_Table,13,FALSE))),"")</f>
        <v/>
      </c>
      <c r="T280" s="203">
        <v>619.91164462835252</v>
      </c>
      <c r="U280" s="203">
        <v>0</v>
      </c>
      <c r="V280" s="204" t="s">
        <v>2597</v>
      </c>
      <c r="W280" s="203">
        <v>553.49253984674328</v>
      </c>
      <c r="X280" s="205">
        <v>-10.714285714285721</v>
      </c>
      <c r="Y280" s="204" t="s">
        <v>2597</v>
      </c>
      <c r="Z280" s="204" t="s">
        <v>2597</v>
      </c>
      <c r="AA280" s="204" t="s">
        <v>2597</v>
      </c>
      <c r="AB280" s="204" t="s">
        <v>2597</v>
      </c>
      <c r="AC280" s="204" t="s">
        <v>2597</v>
      </c>
    </row>
    <row r="281" spans="1:29" ht="15">
      <c r="A281" s="182" t="s">
        <v>1742</v>
      </c>
      <c r="B281" s="182" t="s">
        <v>1830</v>
      </c>
      <c r="C281" s="182"/>
      <c r="D281" s="183">
        <v>0.84799999999999998</v>
      </c>
      <c r="E281" s="183">
        <v>414.8</v>
      </c>
      <c r="F281" s="183">
        <v>459.91038505195394</v>
      </c>
      <c r="G281" s="184">
        <v>0</v>
      </c>
      <c r="H281" s="184">
        <v>0</v>
      </c>
      <c r="I281" s="184">
        <v>0</v>
      </c>
      <c r="J281" s="177" t="b">
        <f>IF(ISBLANK(CertifiedCrop[[#This Row],[1. Identifiant interne d’exploitation agricole*]]),"",IF(ISERROR(MATCH(CertifiedCrop[[#This Row],[1. Identifiant interne d’exploitation agricole*]],GroupMember[1. Identifiant interne d’exploitation agricole*],0)),FALSE,TRUE))</f>
        <v>1</v>
      </c>
      <c r="K281" s="177" t="b">
        <f t="array" ref="K281">IF(ISBLANK(CertifiedCrop[[#This Row],[2. Produit agricole certifié*]]),"",IF(ISERROR(MATCH(1,(#REF!=CertifiedCrop[[#This Row],[2. Produit agricole certifié*]])*(#REF!=CertifiedCrop[[#This Row],[3. Variété**]]),0)),FALSE,TRUE))</f>
        <v>0</v>
      </c>
      <c r="L281" s="185" t="str">
        <f t="shared" si="20"/>
        <v/>
      </c>
      <c r="M281" s="186" t="str">
        <f t="shared" si="21"/>
        <v/>
      </c>
      <c r="N281" s="187" t="str">
        <f t="shared" si="22"/>
        <v/>
      </c>
      <c r="O281" s="188">
        <f t="shared" si="23"/>
        <v>489.15094339622647</v>
      </c>
      <c r="P281" s="188">
        <f t="shared" si="24"/>
        <v>542.34715218390795</v>
      </c>
      <c r="Q281" s="178" t="str">
        <f>IFERROR((VLOOKUP(A281,GM_Table,8,FALSE)-SUMIFS(D:D,A:A,A281,B:B,B281,C:C,C281)),"")</f>
        <v/>
      </c>
      <c r="R281" s="178" t="str">
        <f>IFERROR(CONCATENATE(VLOOKUP(A281,GM_Table,12,FALSE)," ",(VLOOKUP(A281,GM_Table,13,FALSE))),"")</f>
        <v/>
      </c>
      <c r="T281" s="203">
        <v>542.34715218390795</v>
      </c>
      <c r="U281" s="203">
        <v>0</v>
      </c>
      <c r="V281" s="204" t="s">
        <v>2597</v>
      </c>
      <c r="W281" s="203">
        <v>484.23852873563209</v>
      </c>
      <c r="X281" s="205">
        <v>-10.714285714285717</v>
      </c>
      <c r="Y281" s="204" t="s">
        <v>2597</v>
      </c>
      <c r="Z281" s="204" t="s">
        <v>2597</v>
      </c>
      <c r="AA281" s="204" t="s">
        <v>2597</v>
      </c>
      <c r="AB281" s="204" t="s">
        <v>2597</v>
      </c>
      <c r="AC281" s="204" t="s">
        <v>2597</v>
      </c>
    </row>
    <row r="282" spans="1:29" ht="15">
      <c r="A282" s="182" t="s">
        <v>1746</v>
      </c>
      <c r="B282" s="182" t="s">
        <v>1830</v>
      </c>
      <c r="C282" s="182"/>
      <c r="D282" s="183">
        <v>0.93389999999999995</v>
      </c>
      <c r="E282" s="183">
        <v>502.2</v>
      </c>
      <c r="F282" s="183">
        <v>559.86</v>
      </c>
      <c r="G282" s="184">
        <v>0</v>
      </c>
      <c r="H282" s="184">
        <v>0</v>
      </c>
      <c r="I282" s="184">
        <v>0</v>
      </c>
      <c r="J282" s="177" t="b">
        <f>IF(ISBLANK(CertifiedCrop[[#This Row],[1. Identifiant interne d’exploitation agricole*]]),"",IF(ISERROR(MATCH(CertifiedCrop[[#This Row],[1. Identifiant interne d’exploitation agricole*]],GroupMember[1. Identifiant interne d’exploitation agricole*],0)),FALSE,TRUE))</f>
        <v>1</v>
      </c>
      <c r="K282" s="177" t="b">
        <f t="array" ref="K282">IF(ISBLANK(CertifiedCrop[[#This Row],[2. Produit agricole certifié*]]),"",IF(ISERROR(MATCH(1,(#REF!=CertifiedCrop[[#This Row],[2. Produit agricole certifié*]])*(#REF!=CertifiedCrop[[#This Row],[3. Variété**]]),0)),FALSE,TRUE))</f>
        <v>0</v>
      </c>
      <c r="L282" s="185" t="str">
        <f t="shared" si="20"/>
        <v/>
      </c>
      <c r="M282" s="186" t="str">
        <f t="shared" si="21"/>
        <v/>
      </c>
      <c r="N282" s="187" t="str">
        <f t="shared" si="22"/>
        <v/>
      </c>
      <c r="O282" s="188">
        <f t="shared" si="23"/>
        <v>537.74494057179572</v>
      </c>
      <c r="P282" s="188">
        <f t="shared" si="24"/>
        <v>599.48602634115002</v>
      </c>
      <c r="Q282" s="178" t="str">
        <f>IFERROR((VLOOKUP(A282,GM_Table,8,FALSE)-SUMIFS(D:D,A:A,A282,B:B,B282,C:C,C282)),"")</f>
        <v/>
      </c>
      <c r="R282" s="178" t="str">
        <f>IFERROR(CONCATENATE(VLOOKUP(A282,GM_Table,12,FALSE)," ",(VLOOKUP(A282,GM_Table,13,FALSE))),"")</f>
        <v/>
      </c>
      <c r="T282" s="203">
        <v>542.41362539974455</v>
      </c>
      <c r="U282" s="203">
        <v>0</v>
      </c>
      <c r="V282" s="204" t="s">
        <v>2597</v>
      </c>
      <c r="W282" s="203">
        <v>484.29787982120052</v>
      </c>
      <c r="X282" s="205">
        <v>-10.714285714285708</v>
      </c>
      <c r="Y282" s="204" t="s">
        <v>2597</v>
      </c>
      <c r="Z282" s="204" t="s">
        <v>2597</v>
      </c>
      <c r="AA282" s="204" t="s">
        <v>2597</v>
      </c>
      <c r="AB282" s="204" t="s">
        <v>2597</v>
      </c>
      <c r="AC282" s="204" t="s">
        <v>2597</v>
      </c>
    </row>
    <row r="283" spans="1:29" ht="15">
      <c r="A283" s="182" t="s">
        <v>1747</v>
      </c>
      <c r="B283" s="182" t="s">
        <v>1830</v>
      </c>
      <c r="C283" s="182"/>
      <c r="D283" s="183">
        <v>1.6658999999999999</v>
      </c>
      <c r="E283" s="183">
        <v>926.81</v>
      </c>
      <c r="F283" s="183">
        <v>1025.4652176309501</v>
      </c>
      <c r="G283" s="184">
        <v>0</v>
      </c>
      <c r="H283" s="184">
        <v>0</v>
      </c>
      <c r="I283" s="184">
        <v>0</v>
      </c>
      <c r="J283" s="177" t="b">
        <f>IF(ISBLANK(CertifiedCrop[[#This Row],[1. Identifiant interne d’exploitation agricole*]]),"",IF(ISERROR(MATCH(CertifiedCrop[[#This Row],[1. Identifiant interne d’exploitation agricole*]],GroupMember[1. Identifiant interne d’exploitation agricole*],0)),FALSE,TRUE))</f>
        <v>1</v>
      </c>
      <c r="K283" s="177" t="b">
        <f t="array" ref="K283">IF(ISBLANK(CertifiedCrop[[#This Row],[2. Produit agricole certifié*]]),"",IF(ISERROR(MATCH(1,(#REF!=CertifiedCrop[[#This Row],[2. Produit agricole certifié*]])*(#REF!=CertifiedCrop[[#This Row],[3. Variété**]]),0)),FALSE,TRUE))</f>
        <v>0</v>
      </c>
      <c r="L283" s="185" t="str">
        <f t="shared" si="20"/>
        <v/>
      </c>
      <c r="M283" s="186" t="str">
        <f t="shared" si="21"/>
        <v/>
      </c>
      <c r="N283" s="187" t="str">
        <f t="shared" si="22"/>
        <v/>
      </c>
      <c r="O283" s="188">
        <f t="shared" si="23"/>
        <v>556.34191728194969</v>
      </c>
      <c r="P283" s="188">
        <f t="shared" si="24"/>
        <v>615.56228923161666</v>
      </c>
      <c r="Q283" s="178" t="str">
        <f>IFERROR((VLOOKUP(A283,GM_Table,8,FALSE)-SUMIFS(D:D,A:A,A283,B:B,B283,C:C,C283)),"")</f>
        <v/>
      </c>
      <c r="R283" s="178" t="str">
        <f>IFERROR(CONCATENATE(VLOOKUP(A283,GM_Table,12,FALSE)," ",(VLOOKUP(A283,GM_Table,13,FALSE))),"")</f>
        <v/>
      </c>
      <c r="T283" s="203">
        <v>620.3644982477648</v>
      </c>
      <c r="U283" s="203">
        <v>0</v>
      </c>
      <c r="V283" s="204" t="s">
        <v>2597</v>
      </c>
      <c r="W283" s="203">
        <v>553.89687343550429</v>
      </c>
      <c r="X283" s="205">
        <v>-10.714285714285714</v>
      </c>
      <c r="Y283" s="204" t="s">
        <v>2597</v>
      </c>
      <c r="Z283" s="204" t="s">
        <v>2597</v>
      </c>
      <c r="AA283" s="204" t="s">
        <v>2597</v>
      </c>
      <c r="AB283" s="204" t="s">
        <v>2597</v>
      </c>
      <c r="AC283" s="204" t="s">
        <v>2597</v>
      </c>
    </row>
    <row r="284" spans="1:29" ht="15">
      <c r="A284" s="182" t="s">
        <v>1750</v>
      </c>
      <c r="B284" s="182" t="s">
        <v>1830</v>
      </c>
      <c r="C284" s="182"/>
      <c r="D284" s="183">
        <v>1.2874000000000001</v>
      </c>
      <c r="E284" s="183">
        <v>708.21</v>
      </c>
      <c r="F284" s="183">
        <v>785.61</v>
      </c>
      <c r="G284" s="184">
        <v>0</v>
      </c>
      <c r="H284" s="184">
        <v>0</v>
      </c>
      <c r="I284" s="184">
        <v>0</v>
      </c>
      <c r="J284" s="177" t="b">
        <f>IF(ISBLANK(CertifiedCrop[[#This Row],[1. Identifiant interne d’exploitation agricole*]]),"",IF(ISERROR(MATCH(CertifiedCrop[[#This Row],[1. Identifiant interne d’exploitation agricole*]],GroupMember[1. Identifiant interne d’exploitation agricole*],0)),FALSE,TRUE))</f>
        <v>1</v>
      </c>
      <c r="K284" s="177" t="b">
        <f t="array" ref="K284">IF(ISBLANK(CertifiedCrop[[#This Row],[2. Produit agricole certifié*]]),"",IF(ISERROR(MATCH(1,(#REF!=CertifiedCrop[[#This Row],[2. Produit agricole certifié*]])*(#REF!=CertifiedCrop[[#This Row],[3. Variété**]]),0)),FALSE,TRUE))</f>
        <v>0</v>
      </c>
      <c r="L284" s="185" t="str">
        <f t="shared" si="20"/>
        <v/>
      </c>
      <c r="M284" s="186" t="str">
        <f t="shared" si="21"/>
        <v/>
      </c>
      <c r="N284" s="187" t="str">
        <f t="shared" si="22"/>
        <v/>
      </c>
      <c r="O284" s="188">
        <f t="shared" si="23"/>
        <v>550.10874631039303</v>
      </c>
      <c r="P284" s="188">
        <f t="shared" si="24"/>
        <v>610.22992077054528</v>
      </c>
      <c r="Q284" s="178" t="str">
        <f>IFERROR((VLOOKUP(A284,GM_Table,8,FALSE)-SUMIFS(D:D,A:A,A284,B:B,B284,C:C,C284)),"")</f>
        <v/>
      </c>
      <c r="R284" s="178" t="str">
        <f>IFERROR(CONCATENATE(VLOOKUP(A284,GM_Table,12,FALSE)," ",(VLOOKUP(A284,GM_Table,13,FALSE))),"")</f>
        <v/>
      </c>
      <c r="T284" s="203">
        <v>620.07159822222206</v>
      </c>
      <c r="U284" s="203">
        <v>0</v>
      </c>
      <c r="V284" s="204" t="s">
        <v>2597</v>
      </c>
      <c r="W284" s="203">
        <v>553.63535555555541</v>
      </c>
      <c r="X284" s="205">
        <v>-10.714285714285715</v>
      </c>
      <c r="Y284" s="204" t="s">
        <v>2597</v>
      </c>
      <c r="Z284" s="204" t="s">
        <v>2597</v>
      </c>
      <c r="AA284" s="204" t="s">
        <v>2597</v>
      </c>
      <c r="AB284" s="204" t="s">
        <v>2597</v>
      </c>
      <c r="AC284" s="204" t="s">
        <v>2597</v>
      </c>
    </row>
    <row r="285" spans="1:29" ht="15">
      <c r="A285" s="182" t="s">
        <v>1753</v>
      </c>
      <c r="B285" s="182" t="s">
        <v>1830</v>
      </c>
      <c r="C285" s="182"/>
      <c r="D285" s="183">
        <v>1.0544</v>
      </c>
      <c r="E285" s="183">
        <v>581.70000000000005</v>
      </c>
      <c r="F285" s="183">
        <v>648.9</v>
      </c>
      <c r="G285" s="184">
        <v>0</v>
      </c>
      <c r="H285" s="184">
        <v>0</v>
      </c>
      <c r="I285" s="184">
        <v>0</v>
      </c>
      <c r="J285" s="177" t="b">
        <f>IF(ISBLANK(CertifiedCrop[[#This Row],[1. Identifiant interne d’exploitation agricole*]]),"",IF(ISERROR(MATCH(CertifiedCrop[[#This Row],[1. Identifiant interne d’exploitation agricole*]],GroupMember[1. Identifiant interne d’exploitation agricole*],0)),FALSE,TRUE))</f>
        <v>1</v>
      </c>
      <c r="K285" s="177" t="b">
        <f t="array" ref="K285">IF(ISBLANK(CertifiedCrop[[#This Row],[2. Produit agricole certifié*]]),"",IF(ISERROR(MATCH(1,(#REF!=CertifiedCrop[[#This Row],[2. Produit agricole certifié*]])*(#REF!=CertifiedCrop[[#This Row],[3. Variété**]]),0)),FALSE,TRUE))</f>
        <v>0</v>
      </c>
      <c r="L285" s="185" t="str">
        <f t="shared" si="20"/>
        <v/>
      </c>
      <c r="M285" s="186" t="str">
        <f t="shared" si="21"/>
        <v/>
      </c>
      <c r="N285" s="187" t="str">
        <f t="shared" si="22"/>
        <v/>
      </c>
      <c r="O285" s="188">
        <f t="shared" si="23"/>
        <v>551.68816388467383</v>
      </c>
      <c r="P285" s="188">
        <f t="shared" si="24"/>
        <v>615.42109256449169</v>
      </c>
      <c r="Q285" s="178" t="str">
        <f>IFERROR((VLOOKUP(A285,GM_Table,8,FALSE)-SUMIFS(D:D,A:A,A285,B:B,B285,C:C,C285)),"")</f>
        <v/>
      </c>
      <c r="R285" s="178" t="str">
        <f>IFERROR(CONCATENATE(VLOOKUP(A285,GM_Table,12,FALSE)," ",(VLOOKUP(A285,GM_Table,13,FALSE))),"")</f>
        <v/>
      </c>
      <c r="T285" s="203">
        <v>619.89129252618136</v>
      </c>
      <c r="U285" s="203">
        <v>0</v>
      </c>
      <c r="V285" s="204" t="s">
        <v>2597</v>
      </c>
      <c r="W285" s="203">
        <v>553.47436832694768</v>
      </c>
      <c r="X285" s="205">
        <v>-10.714285714285708</v>
      </c>
      <c r="Y285" s="204" t="s">
        <v>2597</v>
      </c>
      <c r="Z285" s="204" t="s">
        <v>2597</v>
      </c>
      <c r="AA285" s="204" t="s">
        <v>2597</v>
      </c>
      <c r="AB285" s="204" t="s">
        <v>2597</v>
      </c>
      <c r="AC285" s="204" t="s">
        <v>2597</v>
      </c>
    </row>
    <row r="286" spans="1:29" ht="15">
      <c r="A286" s="182" t="s">
        <v>1756</v>
      </c>
      <c r="B286" s="182" t="s">
        <v>1830</v>
      </c>
      <c r="C286" s="182"/>
      <c r="D286" s="183">
        <v>0.94589999999999996</v>
      </c>
      <c r="E286" s="183">
        <v>477.2590999030428</v>
      </c>
      <c r="F286" s="183">
        <v>513.07783201623909</v>
      </c>
      <c r="G286" s="184">
        <v>0</v>
      </c>
      <c r="H286" s="184">
        <v>0</v>
      </c>
      <c r="I286" s="184">
        <v>0</v>
      </c>
      <c r="J286" s="177" t="b">
        <f>IF(ISBLANK(CertifiedCrop[[#This Row],[1. Identifiant interne d’exploitation agricole*]]),"",IF(ISERROR(MATCH(CertifiedCrop[[#This Row],[1. Identifiant interne d’exploitation agricole*]],GroupMember[1. Identifiant interne d’exploitation agricole*],0)),FALSE,TRUE))</f>
        <v>1</v>
      </c>
      <c r="K286" s="177" t="b">
        <f t="array" ref="K286">IF(ISBLANK(CertifiedCrop[[#This Row],[2. Produit agricole certifié*]]),"",IF(ISERROR(MATCH(1,(#REF!=CertifiedCrop[[#This Row],[2. Produit agricole certifié*]])*(#REF!=CertifiedCrop[[#This Row],[3. Variété**]]),0)),FALSE,TRUE))</f>
        <v>0</v>
      </c>
      <c r="L286" s="185" t="str">
        <f t="shared" si="20"/>
        <v/>
      </c>
      <c r="M286" s="186" t="str">
        <f t="shared" si="21"/>
        <v/>
      </c>
      <c r="N286" s="187" t="str">
        <f t="shared" si="22"/>
        <v/>
      </c>
      <c r="O286" s="188">
        <f t="shared" si="23"/>
        <v>504.55555545305299</v>
      </c>
      <c r="P286" s="188">
        <f t="shared" si="24"/>
        <v>542.42291153001281</v>
      </c>
      <c r="Q286" s="178" t="str">
        <f>IFERROR((VLOOKUP(A286,GM_Table,8,FALSE)-SUMIFS(D:D,A:A,A286,B:B,B286,C:C,C286)),"")</f>
        <v/>
      </c>
      <c r="R286" s="178" t="str">
        <f>IFERROR(CONCATENATE(VLOOKUP(A286,GM_Table,12,FALSE)," ",(VLOOKUP(A286,GM_Table,13,FALSE))),"")</f>
        <v/>
      </c>
      <c r="T286" s="203">
        <v>542.42291153001281</v>
      </c>
      <c r="U286" s="203">
        <v>0</v>
      </c>
      <c r="V286" s="204" t="s">
        <v>2597</v>
      </c>
      <c r="W286" s="203">
        <v>484.30617100894005</v>
      </c>
      <c r="X286" s="205">
        <v>-10.714285714285705</v>
      </c>
      <c r="Y286" s="204" t="s">
        <v>2597</v>
      </c>
      <c r="Z286" s="204" t="s">
        <v>2597</v>
      </c>
      <c r="AA286" s="204" t="s">
        <v>2597</v>
      </c>
      <c r="AB286" s="204" t="s">
        <v>2597</v>
      </c>
      <c r="AC286" s="204" t="s">
        <v>2597</v>
      </c>
    </row>
    <row r="287" spans="1:29" ht="15">
      <c r="A287" s="182" t="s">
        <v>1758</v>
      </c>
      <c r="B287" s="182" t="s">
        <v>1830</v>
      </c>
      <c r="C287" s="182"/>
      <c r="D287" s="183">
        <v>3.1875</v>
      </c>
      <c r="E287" s="183">
        <v>1643.1738913787976</v>
      </c>
      <c r="F287" s="183">
        <v>1981.1650598659003</v>
      </c>
      <c r="G287" s="184">
        <v>0</v>
      </c>
      <c r="H287" s="184">
        <v>0</v>
      </c>
      <c r="I287" s="184">
        <v>0</v>
      </c>
      <c r="J287" s="177" t="b">
        <f>IF(ISBLANK(CertifiedCrop[[#This Row],[1. Identifiant interne d’exploitation agricole*]]),"",IF(ISERROR(MATCH(CertifiedCrop[[#This Row],[1. Identifiant interne d’exploitation agricole*]],GroupMember[1. Identifiant interne d’exploitation agricole*],0)),FALSE,TRUE))</f>
        <v>1</v>
      </c>
      <c r="K287" s="177" t="b">
        <f t="array" ref="K287">IF(ISBLANK(CertifiedCrop[[#This Row],[2. Produit agricole certifié*]]),"",IF(ISERROR(MATCH(1,(#REF!=CertifiedCrop[[#This Row],[2. Produit agricole certifié*]])*(#REF!=CertifiedCrop[[#This Row],[3. Variété**]]),0)),FALSE,TRUE))</f>
        <v>0</v>
      </c>
      <c r="L287" s="185" t="str">
        <f t="shared" si="20"/>
        <v/>
      </c>
      <c r="M287" s="186" t="str">
        <f t="shared" si="21"/>
        <v/>
      </c>
      <c r="N287" s="187" t="str">
        <f t="shared" si="22"/>
        <v/>
      </c>
      <c r="O287" s="188">
        <f t="shared" si="23"/>
        <v>515.505534550211</v>
      </c>
      <c r="P287" s="188">
        <f t="shared" si="24"/>
        <v>621.54197956577264</v>
      </c>
      <c r="Q287" s="178" t="str">
        <f>IFERROR((VLOOKUP(A287,GM_Table,8,FALSE)-SUMIFS(D:D,A:A,A287,B:B,B287,C:C,C287)),"")</f>
        <v/>
      </c>
      <c r="R287" s="178" t="str">
        <f>IFERROR(CONCATENATE(VLOOKUP(A287,GM_Table,12,FALSE)," ",(VLOOKUP(A287,GM_Table,13,FALSE))),"")</f>
        <v/>
      </c>
      <c r="T287" s="203">
        <v>621.54197956577264</v>
      </c>
      <c r="U287" s="203">
        <v>0</v>
      </c>
      <c r="V287" s="204" t="s">
        <v>2597</v>
      </c>
      <c r="W287" s="203">
        <v>554.94819604086842</v>
      </c>
      <c r="X287" s="205">
        <v>-10.714285714285714</v>
      </c>
      <c r="Y287" s="204" t="s">
        <v>2597</v>
      </c>
      <c r="Z287" s="204" t="s">
        <v>2597</v>
      </c>
      <c r="AA287" s="204" t="s">
        <v>2597</v>
      </c>
      <c r="AB287" s="204" t="s">
        <v>2597</v>
      </c>
      <c r="AC287" s="204" t="s">
        <v>2597</v>
      </c>
    </row>
    <row r="288" spans="1:29" ht="15">
      <c r="A288" s="182" t="s">
        <v>1761</v>
      </c>
      <c r="B288" s="182" t="s">
        <v>1830</v>
      </c>
      <c r="C288" s="182"/>
      <c r="D288" s="183">
        <v>3.9392</v>
      </c>
      <c r="E288" s="183">
        <v>2030.8638388467366</v>
      </c>
      <c r="F288" s="183">
        <v>2450.6695933334722</v>
      </c>
      <c r="G288" s="184">
        <v>0</v>
      </c>
      <c r="H288" s="184">
        <v>0</v>
      </c>
      <c r="I288" s="184">
        <v>0</v>
      </c>
      <c r="J288" s="177" t="b">
        <f>IF(ISBLANK(CertifiedCrop[[#This Row],[1. Identifiant interne d’exploitation agricole*]]),"",IF(ISERROR(MATCH(CertifiedCrop[[#This Row],[1. Identifiant interne d’exploitation agricole*]],GroupMember[1. Identifiant interne d’exploitation agricole*],0)),FALSE,TRUE))</f>
        <v>1</v>
      </c>
      <c r="K288" s="177" t="b">
        <f t="array" ref="K288">IF(ISBLANK(CertifiedCrop[[#This Row],[2. Produit agricole certifié*]]),"",IF(ISERROR(MATCH(1,(#REF!=CertifiedCrop[[#This Row],[2. Produit agricole certifié*]])*(#REF!=CertifiedCrop[[#This Row],[3. Variété**]]),0)),FALSE,TRUE))</f>
        <v>0</v>
      </c>
      <c r="L288" s="185" t="str">
        <f t="shared" si="20"/>
        <v/>
      </c>
      <c r="M288" s="186" t="str">
        <f t="shared" si="21"/>
        <v/>
      </c>
      <c r="N288" s="187" t="str">
        <f t="shared" si="22"/>
        <v/>
      </c>
      <c r="O288" s="188">
        <f t="shared" si="23"/>
        <v>515.55235551552005</v>
      </c>
      <c r="P288" s="188">
        <f t="shared" si="24"/>
        <v>622.12367824265641</v>
      </c>
      <c r="Q288" s="178" t="str">
        <f>IFERROR((VLOOKUP(A288,GM_Table,8,FALSE)-SUMIFS(D:D,A:A,A288,B:B,B288,C:C,C288)),"")</f>
        <v/>
      </c>
      <c r="R288" s="178" t="str">
        <f>IFERROR(CONCATENATE(VLOOKUP(A288,GM_Table,12,FALSE)," ",(VLOOKUP(A288,GM_Table,13,FALSE))),"")</f>
        <v/>
      </c>
      <c r="T288" s="203">
        <v>622.12367824265641</v>
      </c>
      <c r="U288" s="203">
        <v>0</v>
      </c>
      <c r="V288" s="204" t="s">
        <v>2597</v>
      </c>
      <c r="W288" s="203">
        <v>555.4675698595147</v>
      </c>
      <c r="X288" s="205">
        <v>-10.714285714285706</v>
      </c>
      <c r="Y288" s="204" t="s">
        <v>2597</v>
      </c>
      <c r="Z288" s="204" t="s">
        <v>2597</v>
      </c>
      <c r="AA288" s="204" t="s">
        <v>2597</v>
      </c>
      <c r="AB288" s="204" t="s">
        <v>2597</v>
      </c>
      <c r="AC288" s="204" t="s">
        <v>2597</v>
      </c>
    </row>
    <row r="289" spans="1:29" ht="15">
      <c r="A289" s="182" t="s">
        <v>1764</v>
      </c>
      <c r="B289" s="182" t="s">
        <v>1830</v>
      </c>
      <c r="C289" s="182"/>
      <c r="D289" s="183">
        <v>0.63339999999999996</v>
      </c>
      <c r="E289" s="183">
        <v>326.52754649085051</v>
      </c>
      <c r="F289" s="183">
        <v>343.41749937894667</v>
      </c>
      <c r="G289" s="184">
        <v>0</v>
      </c>
      <c r="H289" s="184">
        <v>0</v>
      </c>
      <c r="I289" s="184">
        <v>0</v>
      </c>
      <c r="J289" s="177" t="b">
        <f>IF(ISBLANK(CertifiedCrop[[#This Row],[1. Identifiant interne d’exploitation agricole*]]),"",IF(ISERROR(MATCH(CertifiedCrop[[#This Row],[1. Identifiant interne d’exploitation agricole*]],GroupMember[1. Identifiant interne d’exploitation agricole*],0)),FALSE,TRUE))</f>
        <v>1</v>
      </c>
      <c r="K289" s="177" t="b">
        <f t="array" ref="K289">IF(ISBLANK(CertifiedCrop[[#This Row],[2. Produit agricole certifié*]]),"",IF(ISERROR(MATCH(1,(#REF!=CertifiedCrop[[#This Row],[2. Produit agricole certifié*]])*(#REF!=CertifiedCrop[[#This Row],[3. Variété**]]),0)),FALSE,TRUE))</f>
        <v>0</v>
      </c>
      <c r="L289" s="185" t="str">
        <f t="shared" si="20"/>
        <v/>
      </c>
      <c r="M289" s="186" t="str">
        <f t="shared" si="21"/>
        <v/>
      </c>
      <c r="N289" s="187" t="str">
        <f t="shared" si="22"/>
        <v/>
      </c>
      <c r="O289" s="188">
        <f t="shared" si="23"/>
        <v>515.51554545445299</v>
      </c>
      <c r="P289" s="188">
        <f t="shared" si="24"/>
        <v>542.18108522094519</v>
      </c>
      <c r="Q289" s="178" t="str">
        <f>IFERROR((VLOOKUP(A289,GM_Table,8,FALSE)-SUMIFS(D:D,A:A,A289,B:B,B289,C:C,C289)),"")</f>
        <v/>
      </c>
      <c r="R289" s="178" t="str">
        <f>IFERROR(CONCATENATE(VLOOKUP(A289,GM_Table,12,FALSE)," ",(VLOOKUP(A289,GM_Table,13,FALSE))),"")</f>
        <v/>
      </c>
      <c r="T289" s="203">
        <v>542.18108522094519</v>
      </c>
      <c r="U289" s="203">
        <v>0</v>
      </c>
      <c r="V289" s="204" t="s">
        <v>2597</v>
      </c>
      <c r="W289" s="203">
        <v>484.09025466155822</v>
      </c>
      <c r="X289" s="205">
        <v>-10.714285714285712</v>
      </c>
      <c r="Y289" s="204" t="s">
        <v>2597</v>
      </c>
      <c r="Z289" s="204" t="s">
        <v>2597</v>
      </c>
      <c r="AA289" s="204" t="s">
        <v>2597</v>
      </c>
      <c r="AB289" s="204" t="s">
        <v>2597</v>
      </c>
      <c r="AC289" s="204" t="s">
        <v>2597</v>
      </c>
    </row>
    <row r="290" spans="1:29" ht="15">
      <c r="A290" s="182" t="s">
        <v>1768</v>
      </c>
      <c r="B290" s="182" t="s">
        <v>1830</v>
      </c>
      <c r="C290" s="182"/>
      <c r="D290" s="183">
        <v>1.2423</v>
      </c>
      <c r="E290" s="183">
        <v>647.88809190420568</v>
      </c>
      <c r="F290" s="183">
        <v>770.27158973818234</v>
      </c>
      <c r="G290" s="184">
        <v>0</v>
      </c>
      <c r="H290" s="184">
        <v>0</v>
      </c>
      <c r="I290" s="184">
        <v>0</v>
      </c>
      <c r="J290" s="177" t="b">
        <f>IF(ISBLANK(CertifiedCrop[[#This Row],[1. Identifiant interne d’exploitation agricole*]]),"",IF(ISERROR(MATCH(CertifiedCrop[[#This Row],[1. Identifiant interne d’exploitation agricole*]],GroupMember[1. Identifiant interne d’exploitation agricole*],0)),FALSE,TRUE))</f>
        <v>1</v>
      </c>
      <c r="K290" s="177" t="b">
        <f t="array" ref="K290">IF(ISBLANK(CertifiedCrop[[#This Row],[2. Produit agricole certifié*]]),"",IF(ISERROR(MATCH(1,(#REF!=CertifiedCrop[[#This Row],[2. Produit agricole certifié*]])*(#REF!=CertifiedCrop[[#This Row],[3. Variété**]]),0)),FALSE,TRUE))</f>
        <v>0</v>
      </c>
      <c r="L290" s="185" t="str">
        <f t="shared" si="20"/>
        <v/>
      </c>
      <c r="M290" s="186" t="str">
        <f t="shared" si="21"/>
        <v/>
      </c>
      <c r="N290" s="187" t="str">
        <f t="shared" si="22"/>
        <v/>
      </c>
      <c r="O290" s="188">
        <f t="shared" si="23"/>
        <v>521.52305554552504</v>
      </c>
      <c r="P290" s="188">
        <f t="shared" si="24"/>
        <v>620.03669784929752</v>
      </c>
      <c r="Q290" s="178" t="str">
        <f>IFERROR((VLOOKUP(A290,GM_Table,8,FALSE)-SUMIFS(D:D,A:A,A290,B:B,B290,C:C,C290)),"")</f>
        <v/>
      </c>
      <c r="R290" s="178" t="str">
        <f>IFERROR(CONCATENATE(VLOOKUP(A290,GM_Table,12,FALSE)," ",(VLOOKUP(A290,GM_Table,13,FALSE))),"")</f>
        <v/>
      </c>
      <c r="T290" s="203">
        <v>620.03669784929752</v>
      </c>
      <c r="U290" s="203">
        <v>0</v>
      </c>
      <c r="V290" s="204" t="s">
        <v>2597</v>
      </c>
      <c r="W290" s="203">
        <v>553.60419450830136</v>
      </c>
      <c r="X290" s="205">
        <v>-10.714285714285714</v>
      </c>
      <c r="Y290" s="204" t="s">
        <v>2597</v>
      </c>
      <c r="Z290" s="204" t="s">
        <v>2597</v>
      </c>
      <c r="AA290" s="204" t="s">
        <v>2597</v>
      </c>
      <c r="AB290" s="204" t="s">
        <v>2597</v>
      </c>
      <c r="AC290" s="204" t="s">
        <v>2597</v>
      </c>
    </row>
    <row r="291" spans="1:29" ht="15">
      <c r="A291" s="182" t="s">
        <v>1772</v>
      </c>
      <c r="B291" s="182" t="s">
        <v>1830</v>
      </c>
      <c r="C291" s="182"/>
      <c r="D291" s="183">
        <v>2.0865999999999998</v>
      </c>
      <c r="E291" s="183">
        <v>1091.8249332910384</v>
      </c>
      <c r="F291" s="183">
        <v>1295.1318677157024</v>
      </c>
      <c r="G291" s="184">
        <v>0</v>
      </c>
      <c r="H291" s="184">
        <v>0</v>
      </c>
      <c r="I291" s="184">
        <v>0</v>
      </c>
      <c r="J291" s="177" t="b">
        <f>IF(ISBLANK(CertifiedCrop[[#This Row],[1. Identifiant interne d’exploitation agricole*]]),"",IF(ISERROR(MATCH(CertifiedCrop[[#This Row],[1. Identifiant interne d’exploitation agricole*]],GroupMember[1. Identifiant interne d’exploitation agricole*],0)),FALSE,TRUE))</f>
        <v>1</v>
      </c>
      <c r="K291" s="177" t="b">
        <f t="array" ref="K291">IF(ISBLANK(CertifiedCrop[[#This Row],[2. Produit agricole certifié*]]),"",IF(ISERROR(MATCH(1,(#REF!=CertifiedCrop[[#This Row],[2. Produit agricole certifié*]])*(#REF!=CertifiedCrop[[#This Row],[3. Variété**]]),0)),FALSE,TRUE))</f>
        <v>0</v>
      </c>
      <c r="L291" s="185" t="str">
        <f t="shared" si="20"/>
        <v/>
      </c>
      <c r="M291" s="186" t="str">
        <f t="shared" si="21"/>
        <v/>
      </c>
      <c r="N291" s="187" t="str">
        <f t="shared" si="22"/>
        <v/>
      </c>
      <c r="O291" s="188">
        <f t="shared" si="23"/>
        <v>523.255503350445</v>
      </c>
      <c r="P291" s="188">
        <f t="shared" si="24"/>
        <v>620.69005449808424</v>
      </c>
      <c r="Q291" s="178" t="str">
        <f>IFERROR((VLOOKUP(A291,GM_Table,8,FALSE)-SUMIFS(D:D,A:A,A291,B:B,B291,C:C,C291)),"")</f>
        <v/>
      </c>
      <c r="R291" s="178" t="str">
        <f>IFERROR(CONCATENATE(VLOOKUP(A291,GM_Table,12,FALSE)," ",(VLOOKUP(A291,GM_Table,13,FALSE))),"")</f>
        <v/>
      </c>
      <c r="T291" s="203">
        <v>620.69005449808424</v>
      </c>
      <c r="U291" s="203">
        <v>0</v>
      </c>
      <c r="V291" s="204" t="s">
        <v>2597</v>
      </c>
      <c r="W291" s="203">
        <v>554.18754865900382</v>
      </c>
      <c r="X291" s="205">
        <v>-10.714285714285708</v>
      </c>
      <c r="Y291" s="204" t="s">
        <v>2597</v>
      </c>
      <c r="Z291" s="204" t="s">
        <v>2597</v>
      </c>
      <c r="AA291" s="204" t="s">
        <v>2597</v>
      </c>
      <c r="AB291" s="204" t="s">
        <v>2597</v>
      </c>
      <c r="AC291" s="204" t="s">
        <v>2597</v>
      </c>
    </row>
    <row r="292" spans="1:29" ht="15">
      <c r="A292" s="182" t="s">
        <v>1776</v>
      </c>
      <c r="B292" s="182" t="s">
        <v>1830</v>
      </c>
      <c r="C292" s="182"/>
      <c r="D292" s="183">
        <v>1.0863</v>
      </c>
      <c r="E292" s="183">
        <v>570.87817201395274</v>
      </c>
      <c r="F292" s="183">
        <v>673.41472707065748</v>
      </c>
      <c r="G292" s="184">
        <v>0</v>
      </c>
      <c r="H292" s="184">
        <v>0</v>
      </c>
      <c r="I292" s="184">
        <v>0</v>
      </c>
      <c r="J292" s="177" t="b">
        <f>IF(ISBLANK(CertifiedCrop[[#This Row],[1. Identifiant interne d’exploitation agricole*]]),"",IF(ISERROR(MATCH(CertifiedCrop[[#This Row],[1. Identifiant interne d’exploitation agricole*]],GroupMember[1. Identifiant interne d’exploitation agricole*],0)),FALSE,TRUE))</f>
        <v>1</v>
      </c>
      <c r="K292" s="177" t="b">
        <f t="array" ref="K292">IF(ISBLANK(CertifiedCrop[[#This Row],[2. Produit agricole certifié*]]),"",IF(ISERROR(MATCH(1,(#REF!=CertifiedCrop[[#This Row],[2. Produit agricole certifié*]])*(#REF!=CertifiedCrop[[#This Row],[3. Variété**]]),0)),FALSE,TRUE))</f>
        <v>0</v>
      </c>
      <c r="L292" s="185" t="str">
        <f t="shared" si="20"/>
        <v/>
      </c>
      <c r="M292" s="186" t="str">
        <f t="shared" si="21"/>
        <v/>
      </c>
      <c r="N292" s="187" t="str">
        <f t="shared" si="22"/>
        <v/>
      </c>
      <c r="O292" s="188">
        <f t="shared" si="23"/>
        <v>525.52533555551202</v>
      </c>
      <c r="P292" s="188">
        <f t="shared" si="24"/>
        <v>619.91597815581099</v>
      </c>
      <c r="Q292" s="178" t="str">
        <f>IFERROR((VLOOKUP(A292,GM_Table,8,FALSE)-SUMIFS(D:D,A:A,A292,B:B,B292,C:C,C292)),"")</f>
        <v/>
      </c>
      <c r="R292" s="178" t="str">
        <f>IFERROR(CONCATENATE(VLOOKUP(A292,GM_Table,12,FALSE)," ",(VLOOKUP(A292,GM_Table,13,FALSE))),"")</f>
        <v/>
      </c>
      <c r="T292" s="203">
        <v>619.91597815581099</v>
      </c>
      <c r="U292" s="203">
        <v>0</v>
      </c>
      <c r="V292" s="204" t="s">
        <v>2597</v>
      </c>
      <c r="W292" s="203">
        <v>553.49640906768843</v>
      </c>
      <c r="X292" s="205">
        <v>-10.714285714285706</v>
      </c>
      <c r="Y292" s="204" t="s">
        <v>2597</v>
      </c>
      <c r="Z292" s="204" t="s">
        <v>2597</v>
      </c>
      <c r="AA292" s="204" t="s">
        <v>2597</v>
      </c>
      <c r="AB292" s="204" t="s">
        <v>2597</v>
      </c>
      <c r="AC292" s="204" t="s">
        <v>2597</v>
      </c>
    </row>
    <row r="293" spans="1:29" ht="15">
      <c r="A293" s="182" t="s">
        <v>1780</v>
      </c>
      <c r="B293" s="182" t="s">
        <v>1830</v>
      </c>
      <c r="C293" s="182"/>
      <c r="D293" s="183">
        <v>1.8431999999999999</v>
      </c>
      <c r="E293" s="183">
        <v>981.60566248959901</v>
      </c>
      <c r="F293" s="183">
        <v>1143.7087349559908</v>
      </c>
      <c r="G293" s="184">
        <v>0</v>
      </c>
      <c r="H293" s="184">
        <v>0</v>
      </c>
      <c r="I293" s="184">
        <v>0</v>
      </c>
      <c r="J293" s="177" t="b">
        <f>IF(ISBLANK(CertifiedCrop[[#This Row],[1. Identifiant interne d’exploitation agricole*]]),"",IF(ISERROR(MATCH(CertifiedCrop[[#This Row],[1. Identifiant interne d’exploitation agricole*]],GroupMember[1. Identifiant interne d’exploitation agricole*],0)),FALSE,TRUE))</f>
        <v>1</v>
      </c>
      <c r="K293" s="177" t="b">
        <f t="array" ref="K293">IF(ISBLANK(CertifiedCrop[[#This Row],[2. Produit agricole certifié*]]),"",IF(ISERROR(MATCH(1,(#REF!=CertifiedCrop[[#This Row],[2. Produit agricole certifié*]])*(#REF!=CertifiedCrop[[#This Row],[3. Variété**]]),0)),FALSE,TRUE))</f>
        <v>0</v>
      </c>
      <c r="L293" s="185" t="str">
        <f t="shared" si="20"/>
        <v/>
      </c>
      <c r="M293" s="186" t="str">
        <f t="shared" si="21"/>
        <v/>
      </c>
      <c r="N293" s="187" t="str">
        <f t="shared" si="22"/>
        <v/>
      </c>
      <c r="O293" s="188">
        <f t="shared" si="23"/>
        <v>532.55515543055503</v>
      </c>
      <c r="P293" s="188">
        <f t="shared" si="24"/>
        <v>620.50170082247769</v>
      </c>
      <c r="Q293" s="178" t="str">
        <f>IFERROR((VLOOKUP(A293,GM_Table,8,FALSE)-SUMIFS(D:D,A:A,A293,B:B,B293,C:C,C293)),"")</f>
        <v/>
      </c>
      <c r="R293" s="178" t="str">
        <f>IFERROR(CONCATENATE(VLOOKUP(A293,GM_Table,12,FALSE)," ",(VLOOKUP(A293,GM_Table,13,FALSE))),"")</f>
        <v/>
      </c>
      <c r="T293" s="203">
        <v>620.50170082247769</v>
      </c>
      <c r="U293" s="203">
        <v>0</v>
      </c>
      <c r="V293" s="204" t="s">
        <v>2597</v>
      </c>
      <c r="W293" s="203">
        <v>554.01937573435509</v>
      </c>
      <c r="X293" s="205">
        <v>-10.714285714285712</v>
      </c>
      <c r="Y293" s="204" t="s">
        <v>2597</v>
      </c>
      <c r="Z293" s="204" t="s">
        <v>2597</v>
      </c>
      <c r="AA293" s="204" t="s">
        <v>2597</v>
      </c>
      <c r="AB293" s="204" t="s">
        <v>2597</v>
      </c>
      <c r="AC293" s="204" t="s">
        <v>2597</v>
      </c>
    </row>
    <row r="294" spans="1:29" ht="15">
      <c r="A294" s="182" t="s">
        <v>1784</v>
      </c>
      <c r="B294" s="182" t="s">
        <v>1830</v>
      </c>
      <c r="C294" s="182"/>
      <c r="D294" s="183">
        <v>0.46920000000000001</v>
      </c>
      <c r="E294" s="183">
        <v>251.18739419812567</v>
      </c>
      <c r="F294" s="183">
        <v>254.33174618639688</v>
      </c>
      <c r="G294" s="184">
        <v>0</v>
      </c>
      <c r="H294" s="184">
        <v>0</v>
      </c>
      <c r="I294" s="184">
        <v>0</v>
      </c>
      <c r="J294" s="177" t="b">
        <f>IF(ISBLANK(CertifiedCrop[[#This Row],[1. Identifiant interne d’exploitation agricole*]]),"",IF(ISERROR(MATCH(CertifiedCrop[[#This Row],[1. Identifiant interne d’exploitation agricole*]],GroupMember[1. Identifiant interne d’exploitation agricole*],0)),FALSE,TRUE))</f>
        <v>1</v>
      </c>
      <c r="K294" s="177" t="b">
        <f t="array" ref="K294">IF(ISBLANK(CertifiedCrop[[#This Row],[2. Produit agricole certifié*]]),"",IF(ISERROR(MATCH(1,(#REF!=CertifiedCrop[[#This Row],[2. Produit agricole certifié*]])*(#REF!=CertifiedCrop[[#This Row],[3. Variété**]]),0)),FALSE,TRUE))</f>
        <v>0</v>
      </c>
      <c r="L294" s="185" t="str">
        <f t="shared" si="20"/>
        <v/>
      </c>
      <c r="M294" s="186" t="str">
        <f t="shared" si="21"/>
        <v/>
      </c>
      <c r="N294" s="187" t="str">
        <f t="shared" si="22"/>
        <v/>
      </c>
      <c r="O294" s="188">
        <f t="shared" si="23"/>
        <v>535.35250255355004</v>
      </c>
      <c r="P294" s="188">
        <f t="shared" si="24"/>
        <v>542.05402000510844</v>
      </c>
      <c r="Q294" s="178" t="str">
        <f>IFERROR((VLOOKUP(A294,GM_Table,8,FALSE)-SUMIFS(D:D,A:A,A294,B:B,B294,C:C,C294)),"")</f>
        <v/>
      </c>
      <c r="R294" s="178" t="str">
        <f>IFERROR(CONCATENATE(VLOOKUP(A294,GM_Table,12,FALSE)," ",(VLOOKUP(A294,GM_Table,13,FALSE))),"")</f>
        <v/>
      </c>
      <c r="T294" s="203">
        <v>542.05402000510844</v>
      </c>
      <c r="U294" s="203">
        <v>0</v>
      </c>
      <c r="V294" s="204" t="s">
        <v>2597</v>
      </c>
      <c r="W294" s="203">
        <v>483.97680357598972</v>
      </c>
      <c r="X294" s="205">
        <v>-10.714285714285706</v>
      </c>
      <c r="Y294" s="204" t="s">
        <v>2597</v>
      </c>
      <c r="Z294" s="204" t="s">
        <v>2597</v>
      </c>
      <c r="AA294" s="204" t="s">
        <v>2597</v>
      </c>
      <c r="AB294" s="204" t="s">
        <v>2597</v>
      </c>
      <c r="AC294" s="204" t="s">
        <v>2597</v>
      </c>
    </row>
    <row r="295" spans="1:29" ht="15">
      <c r="A295" s="182" t="s">
        <v>1788</v>
      </c>
      <c r="B295" s="182" t="s">
        <v>1830</v>
      </c>
      <c r="C295" s="182"/>
      <c r="D295" s="183">
        <v>1.1722999999999999</v>
      </c>
      <c r="E295" s="183">
        <v>627.24560076798502</v>
      </c>
      <c r="F295" s="183">
        <v>726.80551846073638</v>
      </c>
      <c r="G295" s="184">
        <v>0</v>
      </c>
      <c r="H295" s="184">
        <v>0</v>
      </c>
      <c r="I295" s="184">
        <v>0</v>
      </c>
      <c r="J295" s="177" t="b">
        <f>IF(ISBLANK(CertifiedCrop[[#This Row],[1. Identifiant interne d’exploitation agricole*]]),"",IF(ISERROR(MATCH(CertifiedCrop[[#This Row],[1. Identifiant interne d’exploitation agricole*]],GroupMember[1. Identifiant interne d’exploitation agricole*],0)),FALSE,TRUE))</f>
        <v>1</v>
      </c>
      <c r="K295" s="177" t="b">
        <f t="array" ref="K295">IF(ISBLANK(CertifiedCrop[[#This Row],[2. Produit agricole certifié*]]),"",IF(ISERROR(MATCH(1,(#REF!=CertifiedCrop[[#This Row],[2. Produit agricole certifié*]])*(#REF!=CertifiedCrop[[#This Row],[3. Variété**]]),0)),FALSE,TRUE))</f>
        <v>0</v>
      </c>
      <c r="L295" s="185" t="str">
        <f t="shared" si="20"/>
        <v/>
      </c>
      <c r="M295" s="186" t="str">
        <f t="shared" si="21"/>
        <v/>
      </c>
      <c r="N295" s="187" t="str">
        <f t="shared" si="22"/>
        <v/>
      </c>
      <c r="O295" s="188">
        <f t="shared" si="23"/>
        <v>535.055532515555</v>
      </c>
      <c r="P295" s="188">
        <f t="shared" si="24"/>
        <v>619.98252875606624</v>
      </c>
      <c r="Q295" s="178" t="str">
        <f>IFERROR((VLOOKUP(A295,GM_Table,8,FALSE)-SUMIFS(D:D,A:A,A295,B:B,B295,C:C,C295)),"")</f>
        <v/>
      </c>
      <c r="R295" s="178" t="str">
        <f>IFERROR(CONCATENATE(VLOOKUP(A295,GM_Table,12,FALSE)," ",(VLOOKUP(A295,GM_Table,13,FALSE))),"")</f>
        <v/>
      </c>
      <c r="T295" s="203">
        <v>619.98252875606624</v>
      </c>
      <c r="U295" s="203">
        <v>0</v>
      </c>
      <c r="V295" s="204" t="s">
        <v>2597</v>
      </c>
      <c r="W295" s="203">
        <v>553.55582924648775</v>
      </c>
      <c r="X295" s="205">
        <v>-10.71428571428571</v>
      </c>
      <c r="Y295" s="204" t="s">
        <v>2597</v>
      </c>
      <c r="Z295" s="204" t="s">
        <v>2597</v>
      </c>
      <c r="AA295" s="204" t="s">
        <v>2597</v>
      </c>
      <c r="AB295" s="204" t="s">
        <v>2597</v>
      </c>
      <c r="AC295" s="204" t="s">
        <v>2597</v>
      </c>
    </row>
    <row r="296" spans="1:29" ht="15">
      <c r="A296" s="182" t="s">
        <v>1791</v>
      </c>
      <c r="B296" s="182" t="s">
        <v>1830</v>
      </c>
      <c r="C296" s="182"/>
      <c r="D296" s="183">
        <v>2.1427999999999998</v>
      </c>
      <c r="E296" s="183">
        <v>1166.7878463036261</v>
      </c>
      <c r="F296" s="183">
        <v>1330.1078392435409</v>
      </c>
      <c r="G296" s="184">
        <v>0</v>
      </c>
      <c r="H296" s="184">
        <v>0</v>
      </c>
      <c r="I296" s="184">
        <v>0</v>
      </c>
      <c r="J296" s="177" t="b">
        <f>IF(ISBLANK(CertifiedCrop[[#This Row],[1. Identifiant interne d’exploitation agricole*]]),"",IF(ISERROR(MATCH(CertifiedCrop[[#This Row],[1. Identifiant interne d’exploitation agricole*]],GroupMember[1. Identifiant interne d’exploitation agricole*],0)),FALSE,TRUE))</f>
        <v>1</v>
      </c>
      <c r="K296" s="177" t="b">
        <f t="array" ref="K296">IF(ISBLANK(CertifiedCrop[[#This Row],[2. Produit agricole certifié*]]),"",IF(ISERROR(MATCH(1,(#REF!=CertifiedCrop[[#This Row],[2. Produit agricole certifié*]])*(#REF!=CertifiedCrop[[#This Row],[3. Variété**]]),0)),FALSE,TRUE))</f>
        <v>0</v>
      </c>
      <c r="L296" s="185" t="str">
        <f t="shared" si="20"/>
        <v/>
      </c>
      <c r="M296" s="186" t="str">
        <f t="shared" si="21"/>
        <v/>
      </c>
      <c r="N296" s="187" t="str">
        <f t="shared" si="22"/>
        <v/>
      </c>
      <c r="O296" s="188">
        <f t="shared" si="23"/>
        <v>544.51551535543501</v>
      </c>
      <c r="P296" s="188">
        <f t="shared" si="24"/>
        <v>620.73354454150694</v>
      </c>
      <c r="Q296" s="178" t="str">
        <f>IFERROR((VLOOKUP(A296,GM_Table,8,FALSE)-SUMIFS(D:D,A:A,A296,B:B,B296,C:C,C296)),"")</f>
        <v/>
      </c>
      <c r="R296" s="178" t="str">
        <f>IFERROR(CONCATENATE(VLOOKUP(A296,GM_Table,12,FALSE)," ",(VLOOKUP(A296,GM_Table,13,FALSE))),"")</f>
        <v/>
      </c>
      <c r="T296" s="203">
        <v>620.73354454150694</v>
      </c>
      <c r="U296" s="203">
        <v>0</v>
      </c>
      <c r="V296" s="204" t="s">
        <v>2597</v>
      </c>
      <c r="W296" s="203">
        <v>554.22637905491695</v>
      </c>
      <c r="X296" s="205">
        <v>-10.71428571428571</v>
      </c>
      <c r="Y296" s="204" t="s">
        <v>2597</v>
      </c>
      <c r="Z296" s="204" t="s">
        <v>2597</v>
      </c>
      <c r="AA296" s="204" t="s">
        <v>2597</v>
      </c>
      <c r="AB296" s="204" t="s">
        <v>2597</v>
      </c>
      <c r="AC296" s="204" t="s">
        <v>2597</v>
      </c>
    </row>
    <row r="297" spans="1:29" ht="15">
      <c r="A297" s="182" t="s">
        <v>1794</v>
      </c>
      <c r="B297" s="182" t="s">
        <v>1830</v>
      </c>
      <c r="C297" s="182"/>
      <c r="D297" s="183">
        <v>1.5318000000000001</v>
      </c>
      <c r="E297" s="183">
        <v>835.30946562725933</v>
      </c>
      <c r="F297" s="183">
        <v>950.11537969162316</v>
      </c>
      <c r="G297" s="184">
        <v>0</v>
      </c>
      <c r="H297" s="184">
        <v>0</v>
      </c>
      <c r="I297" s="184">
        <v>0</v>
      </c>
      <c r="J297" s="177" t="b">
        <f>IF(ISBLANK(CertifiedCrop[[#This Row],[1. Identifiant interne d’exploitation agricole*]]),"",IF(ISERROR(MATCH(CertifiedCrop[[#This Row],[1. Identifiant interne d’exploitation agricole*]],GroupMember[1. Identifiant interne d’exploitation agricole*],0)),FALSE,TRUE))</f>
        <v>1</v>
      </c>
      <c r="K297" s="177" t="b">
        <f t="array" ref="K297">IF(ISBLANK(CertifiedCrop[[#This Row],[2. Produit agricole certifié*]]),"",IF(ISERROR(MATCH(1,(#REF!=CertifiedCrop[[#This Row],[2. Produit agricole certifié*]])*(#REF!=CertifiedCrop[[#This Row],[3. Variété**]]),0)),FALSE,TRUE))</f>
        <v>0</v>
      </c>
      <c r="L297" s="185" t="str">
        <f t="shared" si="20"/>
        <v/>
      </c>
      <c r="M297" s="186" t="str">
        <f t="shared" si="21"/>
        <v/>
      </c>
      <c r="N297" s="187" t="str">
        <f t="shared" si="22"/>
        <v/>
      </c>
      <c r="O297" s="188">
        <f t="shared" si="23"/>
        <v>545.31235515554204</v>
      </c>
      <c r="P297" s="188">
        <f t="shared" si="24"/>
        <v>620.26072574201794</v>
      </c>
      <c r="Q297" s="178" t="str">
        <f>IFERROR((VLOOKUP(A297,GM_Table,8,FALSE)-SUMIFS(D:D,A:A,A297,B:B,B297,C:C,C297)),"")</f>
        <v/>
      </c>
      <c r="R297" s="178" t="str">
        <f>IFERROR(CONCATENATE(VLOOKUP(A297,GM_Table,12,FALSE)," ",(VLOOKUP(A297,GM_Table,13,FALSE))),"")</f>
        <v/>
      </c>
      <c r="T297" s="203">
        <v>620.26072574201794</v>
      </c>
      <c r="U297" s="203">
        <v>0</v>
      </c>
      <c r="V297" s="204" t="s">
        <v>2597</v>
      </c>
      <c r="W297" s="203">
        <v>553.80421941251598</v>
      </c>
      <c r="X297" s="205">
        <v>-10.714285714285721</v>
      </c>
      <c r="Y297" s="204" t="s">
        <v>2597</v>
      </c>
      <c r="Z297" s="204" t="s">
        <v>2597</v>
      </c>
      <c r="AA297" s="204" t="s">
        <v>2597</v>
      </c>
      <c r="AB297" s="204" t="s">
        <v>2597</v>
      </c>
      <c r="AC297" s="204" t="s">
        <v>2597</v>
      </c>
    </row>
    <row r="298" spans="1:29" ht="15">
      <c r="A298" s="182" t="s">
        <v>1798</v>
      </c>
      <c r="B298" s="182" t="s">
        <v>1830</v>
      </c>
      <c r="C298" s="182"/>
      <c r="D298" s="183">
        <v>0.4405</v>
      </c>
      <c r="E298" s="183">
        <v>243.40063235050675</v>
      </c>
      <c r="F298" s="183">
        <v>261.18399999999997</v>
      </c>
      <c r="G298" s="184">
        <v>0</v>
      </c>
      <c r="H298" s="184">
        <v>0</v>
      </c>
      <c r="I298" s="184">
        <v>0</v>
      </c>
      <c r="J298" s="177" t="b">
        <f>IF(ISBLANK(CertifiedCrop[[#This Row],[1. Identifiant interne d’exploitation agricole*]]),"",IF(ISERROR(MATCH(CertifiedCrop[[#This Row],[1. Identifiant interne d’exploitation agricole*]],GroupMember[1. Identifiant interne d’exploitation agricole*],0)),FALSE,TRUE))</f>
        <v>1</v>
      </c>
      <c r="K298" s="177" t="b">
        <f t="array" ref="K298">IF(ISBLANK(CertifiedCrop[[#This Row],[2. Produit agricole certifié*]]),"",IF(ISERROR(MATCH(1,(#REF!=CertifiedCrop[[#This Row],[2. Produit agricole certifié*]])*(#REF!=CertifiedCrop[[#This Row],[3. Variété**]]),0)),FALSE,TRUE))</f>
        <v>0</v>
      </c>
      <c r="L298" s="185" t="str">
        <f t="shared" si="20"/>
        <v/>
      </c>
      <c r="M298" s="186" t="str">
        <f t="shared" si="21"/>
        <v/>
      </c>
      <c r="N298" s="187" t="str">
        <f t="shared" si="22"/>
        <v/>
      </c>
      <c r="O298" s="188">
        <f t="shared" si="23"/>
        <v>552.55535153350002</v>
      </c>
      <c r="P298" s="188">
        <f t="shared" si="24"/>
        <v>592.92622020431315</v>
      </c>
      <c r="Q298" s="178" t="str">
        <f>IFERROR((VLOOKUP(A298,GM_Table,8,FALSE)-SUMIFS(D:D,A:A,A298,B:B,B298,C:C,C298)),"")</f>
        <v/>
      </c>
      <c r="R298" s="178" t="str">
        <f>IFERROR(CONCATENATE(VLOOKUP(A298,GM_Table,12,FALSE)," ",(VLOOKUP(A298,GM_Table,13,FALSE))),"")</f>
        <v/>
      </c>
      <c r="T298" s="203">
        <v>592.92622020431315</v>
      </c>
      <c r="U298" s="203">
        <v>0</v>
      </c>
      <c r="V298" s="204" t="s">
        <v>2597</v>
      </c>
      <c r="W298" s="203">
        <v>529.39841089670824</v>
      </c>
      <c r="X298" s="205">
        <v>-10.714285714285703</v>
      </c>
      <c r="Y298" s="204" t="s">
        <v>2597</v>
      </c>
      <c r="Z298" s="204" t="s">
        <v>2597</v>
      </c>
      <c r="AA298" s="204" t="s">
        <v>2597</v>
      </c>
      <c r="AB298" s="204" t="s">
        <v>2597</v>
      </c>
      <c r="AC298" s="204" t="s">
        <v>2597</v>
      </c>
    </row>
    <row r="299" spans="1:29" ht="15">
      <c r="A299" s="182" t="s">
        <v>1799</v>
      </c>
      <c r="B299" s="182" t="s">
        <v>1830</v>
      </c>
      <c r="C299" s="182"/>
      <c r="D299" s="183">
        <v>3.1612</v>
      </c>
      <c r="E299" s="183">
        <v>1629.7741261217311</v>
      </c>
      <c r="F299" s="183">
        <v>1964.7541687379373</v>
      </c>
      <c r="G299" s="184">
        <v>0</v>
      </c>
      <c r="H299" s="184">
        <v>0</v>
      </c>
      <c r="I299" s="184">
        <v>0</v>
      </c>
      <c r="J299" s="177" t="b">
        <f>IF(ISBLANK(CertifiedCrop[[#This Row],[1. Identifiant interne d’exploitation agricole*]]),"",IF(ISERROR(MATCH(CertifiedCrop[[#This Row],[1. Identifiant interne d’exploitation agricole*]],GroupMember[1. Identifiant interne d’exploitation agricole*],0)),FALSE,TRUE))</f>
        <v>1</v>
      </c>
      <c r="K299" s="177" t="b">
        <f t="array" ref="K299">IF(ISBLANK(CertifiedCrop[[#This Row],[2. Produit agricole certifié*]]),"",IF(ISERROR(MATCH(1,(#REF!=CertifiedCrop[[#This Row],[2. Produit agricole certifié*]])*(#REF!=CertifiedCrop[[#This Row],[3. Variété**]]),0)),FALSE,TRUE))</f>
        <v>0</v>
      </c>
      <c r="L299" s="185" t="str">
        <f t="shared" si="20"/>
        <v/>
      </c>
      <c r="M299" s="186" t="str">
        <f t="shared" si="21"/>
        <v/>
      </c>
      <c r="N299" s="187" t="str">
        <f t="shared" si="22"/>
        <v/>
      </c>
      <c r="O299" s="188">
        <f t="shared" si="23"/>
        <v>515.555525155552</v>
      </c>
      <c r="P299" s="188">
        <f t="shared" si="24"/>
        <v>621.52162746360159</v>
      </c>
      <c r="Q299" s="178" t="str">
        <f>IFERROR((VLOOKUP(A299,GM_Table,8,FALSE)-SUMIFS(D:D,A:A,A299,B:B,B299,C:C,C299)),"")</f>
        <v/>
      </c>
      <c r="R299" s="178" t="str">
        <f>IFERROR(CONCATENATE(VLOOKUP(A299,GM_Table,12,FALSE)," ",(VLOOKUP(A299,GM_Table,13,FALSE))),"")</f>
        <v/>
      </c>
      <c r="T299" s="203">
        <v>621.52162746360159</v>
      </c>
      <c r="U299" s="203">
        <v>0</v>
      </c>
      <c r="V299" s="204" t="s">
        <v>2597</v>
      </c>
      <c r="W299" s="203">
        <v>554.93002452107282</v>
      </c>
      <c r="X299" s="205">
        <v>-10.714285714285717</v>
      </c>
      <c r="Y299" s="204" t="s">
        <v>2597</v>
      </c>
      <c r="Z299" s="204" t="s">
        <v>2597</v>
      </c>
      <c r="AA299" s="204" t="s">
        <v>2597</v>
      </c>
      <c r="AB299" s="204" t="s">
        <v>2597</v>
      </c>
      <c r="AC299" s="204" t="s">
        <v>2597</v>
      </c>
    </row>
    <row r="300" spans="1:29" ht="15">
      <c r="A300" s="182" t="s">
        <v>1803</v>
      </c>
      <c r="B300" s="182" t="s">
        <v>1830</v>
      </c>
      <c r="C300" s="182"/>
      <c r="D300" s="183">
        <v>0.94450000000000001</v>
      </c>
      <c r="E300" s="183">
        <v>502.95149674898562</v>
      </c>
      <c r="F300" s="183">
        <v>512.31741668592599</v>
      </c>
      <c r="G300" s="184">
        <v>0</v>
      </c>
      <c r="H300" s="184">
        <v>0</v>
      </c>
      <c r="I300" s="184">
        <v>0</v>
      </c>
      <c r="J300" s="177" t="b">
        <f>IF(ISBLANK(CertifiedCrop[[#This Row],[1. Identifiant interne d’exploitation agricole*]]),"",IF(ISERROR(MATCH(CertifiedCrop[[#This Row],[1. Identifiant interne d’exploitation agricole*]],GroupMember[1. Identifiant interne d’exploitation agricole*],0)),FALSE,TRUE))</f>
        <v>1</v>
      </c>
      <c r="K300" s="177" t="b">
        <f t="array" ref="K300">IF(ISBLANK(CertifiedCrop[[#This Row],[2. Produit agricole certifié*]]),"",IF(ISERROR(MATCH(1,(#REF!=CertifiedCrop[[#This Row],[2. Produit agricole certifié*]])*(#REF!=CertifiedCrop[[#This Row],[3. Variété**]]),0)),FALSE,TRUE))</f>
        <v>0</v>
      </c>
      <c r="L300" s="185" t="str">
        <f t="shared" si="20"/>
        <v/>
      </c>
      <c r="M300" s="186" t="str">
        <f t="shared" si="21"/>
        <v/>
      </c>
      <c r="N300" s="187" t="str">
        <f t="shared" si="22"/>
        <v/>
      </c>
      <c r="O300" s="188">
        <f t="shared" si="23"/>
        <v>532.50555505451098</v>
      </c>
      <c r="P300" s="188">
        <f t="shared" si="24"/>
        <v>542.42182814814817</v>
      </c>
      <c r="Q300" s="178" t="str">
        <f>IFERROR((VLOOKUP(A300,GM_Table,8,FALSE)-SUMIFS(D:D,A:A,A300,B:B,B300,C:C,C300)),"")</f>
        <v/>
      </c>
      <c r="R300" s="178" t="str">
        <f>IFERROR(CONCATENATE(VLOOKUP(A300,GM_Table,12,FALSE)," ",(VLOOKUP(A300,GM_Table,13,FALSE))),"")</f>
        <v/>
      </c>
      <c r="T300" s="203">
        <v>542.42182814814817</v>
      </c>
      <c r="U300" s="203">
        <v>0</v>
      </c>
      <c r="V300" s="204" t="s">
        <v>2597</v>
      </c>
      <c r="W300" s="203">
        <v>484.30520370370368</v>
      </c>
      <c r="X300" s="205">
        <v>-10.714285714285721</v>
      </c>
      <c r="Y300" s="204" t="s">
        <v>2597</v>
      </c>
      <c r="Z300" s="204" t="s">
        <v>2597</v>
      </c>
      <c r="AA300" s="204" t="s">
        <v>2597</v>
      </c>
      <c r="AB300" s="204" t="s">
        <v>2597</v>
      </c>
      <c r="AC300" s="204" t="s">
        <v>2597</v>
      </c>
    </row>
    <row r="301" spans="1:29" ht="15">
      <c r="A301" s="182" t="s">
        <v>1808</v>
      </c>
      <c r="B301" s="182" t="s">
        <v>1830</v>
      </c>
      <c r="C301" s="182"/>
      <c r="D301" s="183">
        <v>2.9626000000000001</v>
      </c>
      <c r="E301" s="183">
        <v>1586.340613086041</v>
      </c>
      <c r="F301" s="183">
        <v>1840.8646649919008</v>
      </c>
      <c r="G301" s="184">
        <v>0</v>
      </c>
      <c r="H301" s="184">
        <v>0</v>
      </c>
      <c r="I301" s="184">
        <v>0</v>
      </c>
      <c r="J301" s="177" t="b">
        <f>IF(ISBLANK(CertifiedCrop[[#This Row],[1. Identifiant interne d’exploitation agricole*]]),"",IF(ISERROR(MATCH(CertifiedCrop[[#This Row],[1. Identifiant interne d’exploitation agricole*]],GroupMember[1. Identifiant interne d’exploitation agricole*],0)),FALSE,TRUE))</f>
        <v>1</v>
      </c>
      <c r="K301" s="177" t="b">
        <f t="array" ref="K301">IF(ISBLANK(CertifiedCrop[[#This Row],[2. Produit agricole certifié*]]),"",IF(ISERROR(MATCH(1,(#REF!=CertifiedCrop[[#This Row],[2. Produit agricole certifié*]])*(#REF!=CertifiedCrop[[#This Row],[3. Variété**]]),0)),FALSE,TRUE))</f>
        <v>0</v>
      </c>
      <c r="L301" s="185" t="str">
        <f t="shared" si="20"/>
        <v/>
      </c>
      <c r="M301" s="186" t="str">
        <f t="shared" si="21"/>
        <v/>
      </c>
      <c r="N301" s="187" t="str">
        <f t="shared" si="22"/>
        <v/>
      </c>
      <c r="O301" s="188">
        <f t="shared" si="23"/>
        <v>535.45555022144094</v>
      </c>
      <c r="P301" s="188">
        <f t="shared" si="24"/>
        <v>621.36794200766246</v>
      </c>
      <c r="Q301" s="178" t="str">
        <f>IFERROR((VLOOKUP(A301,GM_Table,8,FALSE)-SUMIFS(D:D,A:A,A301,B:B,B301,C:C,C301)),"")</f>
        <v/>
      </c>
      <c r="R301" s="178" t="str">
        <f>IFERROR(CONCATENATE(VLOOKUP(A301,GM_Table,12,FALSE)," ",(VLOOKUP(A301,GM_Table,13,FALSE))),"")</f>
        <v/>
      </c>
      <c r="T301" s="203">
        <v>621.36794200766246</v>
      </c>
      <c r="U301" s="203">
        <v>0</v>
      </c>
      <c r="V301" s="204" t="s">
        <v>2597</v>
      </c>
      <c r="W301" s="203">
        <v>554.79280536398437</v>
      </c>
      <c r="X301" s="205">
        <v>-10.71428571428571</v>
      </c>
      <c r="Y301" s="204" t="s">
        <v>2597</v>
      </c>
      <c r="Z301" s="204" t="s">
        <v>2597</v>
      </c>
      <c r="AA301" s="204" t="s">
        <v>2597</v>
      </c>
      <c r="AB301" s="204" t="s">
        <v>2597</v>
      </c>
      <c r="AC301" s="204" t="s">
        <v>2597</v>
      </c>
    </row>
    <row r="302" spans="1:29" ht="15">
      <c r="A302" s="182" t="s">
        <v>1812</v>
      </c>
      <c r="B302" s="182" t="s">
        <v>1830</v>
      </c>
      <c r="C302" s="182"/>
      <c r="D302" s="183">
        <v>0.70669999999999999</v>
      </c>
      <c r="E302" s="183">
        <v>346.48</v>
      </c>
      <c r="F302" s="183">
        <v>383.19945891359987</v>
      </c>
      <c r="G302" s="184">
        <v>0</v>
      </c>
      <c r="H302" s="184">
        <v>0</v>
      </c>
      <c r="I302" s="184">
        <v>0</v>
      </c>
      <c r="J302" s="177" t="b">
        <f>IF(ISBLANK(CertifiedCrop[[#This Row],[1. Identifiant interne d’exploitation agricole*]]),"",IF(ISERROR(MATCH(CertifiedCrop[[#This Row],[1. Identifiant interne d’exploitation agricole*]],GroupMember[1. Identifiant interne d’exploitation agricole*],0)),FALSE,TRUE))</f>
        <v>1</v>
      </c>
      <c r="K302" s="177" t="b">
        <f t="array" ref="K302">IF(ISBLANK(CertifiedCrop[[#This Row],[2. Produit agricole certifié*]]),"",IF(ISERROR(MATCH(1,(#REF!=CertifiedCrop[[#This Row],[2. Produit agricole certifié*]])*(#REF!=CertifiedCrop[[#This Row],[3. Variété**]]),0)),FALSE,TRUE))</f>
        <v>0</v>
      </c>
      <c r="L302" s="185" t="str">
        <f t="shared" si="20"/>
        <v/>
      </c>
      <c r="M302" s="186" t="str">
        <f t="shared" si="21"/>
        <v/>
      </c>
      <c r="N302" s="187" t="str">
        <f t="shared" si="22"/>
        <v/>
      </c>
      <c r="O302" s="188">
        <f t="shared" si="23"/>
        <v>490.27876043582853</v>
      </c>
      <c r="P302" s="188">
        <f t="shared" si="24"/>
        <v>542.23780799999986</v>
      </c>
      <c r="Q302" s="178" t="str">
        <f>IFERROR((VLOOKUP(A302,GM_Table,8,FALSE)-SUMIFS(D:D,A:A,A302,B:B,B302,C:C,C302)),"")</f>
        <v/>
      </c>
      <c r="R302" s="178" t="str">
        <f>IFERROR(CONCATENATE(VLOOKUP(A302,GM_Table,12,FALSE)," ",(VLOOKUP(A302,GM_Table,13,FALSE))),"")</f>
        <v/>
      </c>
      <c r="T302" s="203">
        <v>542.23780799999986</v>
      </c>
      <c r="U302" s="203">
        <v>0</v>
      </c>
      <c r="V302" s="204" t="s">
        <v>2597</v>
      </c>
      <c r="W302" s="203">
        <v>484.14089999999987</v>
      </c>
      <c r="X302" s="205">
        <v>-10.714285714285714</v>
      </c>
      <c r="Y302" s="204" t="s">
        <v>2597</v>
      </c>
      <c r="Z302" s="204" t="s">
        <v>2597</v>
      </c>
      <c r="AA302" s="204" t="s">
        <v>2597</v>
      </c>
      <c r="AB302" s="204" t="s">
        <v>2597</v>
      </c>
      <c r="AC302" s="204" t="s">
        <v>2597</v>
      </c>
    </row>
    <row r="303" spans="1:29" ht="15">
      <c r="A303" s="182" t="s">
        <v>1817</v>
      </c>
      <c r="B303" s="182" t="s">
        <v>1830</v>
      </c>
      <c r="C303" s="182"/>
      <c r="D303" s="183">
        <v>1.8405</v>
      </c>
      <c r="E303" s="183">
        <v>1016.974616539459</v>
      </c>
      <c r="F303" s="183">
        <v>1142.0295348611494</v>
      </c>
      <c r="G303" s="184">
        <v>0</v>
      </c>
      <c r="H303" s="184">
        <v>0</v>
      </c>
      <c r="I303" s="184">
        <v>0</v>
      </c>
      <c r="J303" s="177" t="b">
        <f>IF(ISBLANK(CertifiedCrop[[#This Row],[1. Identifiant interne d’exploitation agricole*]]),"",IF(ISERROR(MATCH(CertifiedCrop[[#This Row],[1. Identifiant interne d’exploitation agricole*]],GroupMember[1. Identifiant interne d’exploitation agricole*],0)),FALSE,TRUE))</f>
        <v>1</v>
      </c>
      <c r="K303" s="177" t="b">
        <f t="array" ref="K303">IF(ISBLANK(CertifiedCrop[[#This Row],[2. Produit agricole certifié*]]),"",IF(ISERROR(MATCH(1,(#REF!=CertifiedCrop[[#This Row],[2. Produit agricole certifié*]])*(#REF!=CertifiedCrop[[#This Row],[3. Variété**]]),0)),FALSE,TRUE))</f>
        <v>0</v>
      </c>
      <c r="L303" s="185" t="str">
        <f t="shared" si="20"/>
        <v/>
      </c>
      <c r="M303" s="186" t="str">
        <f t="shared" si="21"/>
        <v/>
      </c>
      <c r="N303" s="187" t="str">
        <f t="shared" si="22"/>
        <v/>
      </c>
      <c r="O303" s="188">
        <f t="shared" si="23"/>
        <v>552.55344555254499</v>
      </c>
      <c r="P303" s="188">
        <f t="shared" si="24"/>
        <v>620.49961144316728</v>
      </c>
      <c r="Q303" s="178" t="str">
        <f>IFERROR((VLOOKUP(A303,GM_Table,8,FALSE)-SUMIFS(D:D,A:A,A303,B:B,B303,C:C,C303)),"")</f>
        <v/>
      </c>
      <c r="R303" s="178" t="str">
        <f>IFERROR(CONCATENATE(VLOOKUP(A303,GM_Table,12,FALSE)," ",(VLOOKUP(A303,GM_Table,13,FALSE))),"")</f>
        <v/>
      </c>
      <c r="T303" s="203">
        <v>620.49961144316728</v>
      </c>
      <c r="U303" s="203">
        <v>0</v>
      </c>
      <c r="V303" s="204" t="s">
        <v>2597</v>
      </c>
      <c r="W303" s="203">
        <v>554.01751021711368</v>
      </c>
      <c r="X303" s="205">
        <v>-10.714285714285708</v>
      </c>
      <c r="Y303" s="204" t="s">
        <v>2597</v>
      </c>
      <c r="Z303" s="204" t="s">
        <v>2597</v>
      </c>
      <c r="AA303" s="204" t="s">
        <v>2597</v>
      </c>
      <c r="AB303" s="204" t="s">
        <v>2597</v>
      </c>
      <c r="AC303" s="204" t="s">
        <v>2597</v>
      </c>
    </row>
    <row r="304" spans="1:29" ht="15">
      <c r="A304" s="182" t="s">
        <v>1820</v>
      </c>
      <c r="B304" s="182" t="s">
        <v>1830</v>
      </c>
      <c r="C304" s="182"/>
      <c r="D304" s="183">
        <v>0.79249999999999998</v>
      </c>
      <c r="E304" s="183">
        <v>385.52</v>
      </c>
      <c r="F304" s="183">
        <v>429.77608153639841</v>
      </c>
      <c r="G304" s="184">
        <v>0</v>
      </c>
      <c r="H304" s="184">
        <v>0</v>
      </c>
      <c r="I304" s="184">
        <v>0</v>
      </c>
      <c r="J304" s="177" t="b">
        <f>IF(ISBLANK(CertifiedCrop[[#This Row],[1. Identifiant interne d’exploitation agricole*]]),"",IF(ISERROR(MATCH(CertifiedCrop[[#This Row],[1. Identifiant interne d’exploitation agricole*]],GroupMember[1. Identifiant interne d’exploitation agricole*],0)),FALSE,TRUE))</f>
        <v>1</v>
      </c>
      <c r="K304" s="177" t="b">
        <f t="array" ref="K304">IF(ISBLANK(CertifiedCrop[[#This Row],[2. Produit agricole certifié*]]),"",IF(ISERROR(MATCH(1,(#REF!=CertifiedCrop[[#This Row],[2. Produit agricole certifié*]])*(#REF!=CertifiedCrop[[#This Row],[3. Variété**]]),0)),FALSE,TRUE))</f>
        <v>0</v>
      </c>
      <c r="L304" s="185" t="str">
        <f t="shared" si="20"/>
        <v/>
      </c>
      <c r="M304" s="186" t="str">
        <f t="shared" si="21"/>
        <v/>
      </c>
      <c r="N304" s="187" t="str">
        <f t="shared" si="22"/>
        <v/>
      </c>
      <c r="O304" s="188">
        <f t="shared" si="23"/>
        <v>486.46056782334381</v>
      </c>
      <c r="P304" s="188">
        <f t="shared" si="24"/>
        <v>542.30420383141757</v>
      </c>
      <c r="Q304" s="178" t="str">
        <f>IFERROR((VLOOKUP(A304,GM_Table,8,FALSE)-SUMIFS(D:D,A:A,A304,B:B,B304,C:C,C304)),"")</f>
        <v/>
      </c>
      <c r="R304" s="178" t="str">
        <f>IFERROR(CONCATENATE(VLOOKUP(A304,GM_Table,12,FALSE)," ",(VLOOKUP(A304,GM_Table,13,FALSE))),"")</f>
        <v/>
      </c>
      <c r="T304" s="203">
        <v>542.30420383141757</v>
      </c>
      <c r="U304" s="203">
        <v>0</v>
      </c>
      <c r="V304" s="204" t="s">
        <v>2597</v>
      </c>
      <c r="W304" s="203">
        <v>484.20018199233715</v>
      </c>
      <c r="X304" s="205">
        <v>-10.714285714285708</v>
      </c>
      <c r="Y304" s="204" t="s">
        <v>2597</v>
      </c>
      <c r="Z304" s="204" t="s">
        <v>2597</v>
      </c>
      <c r="AA304" s="204" t="s">
        <v>2597</v>
      </c>
      <c r="AB304" s="204" t="s">
        <v>2597</v>
      </c>
      <c r="AC304" s="204" t="s">
        <v>2597</v>
      </c>
    </row>
    <row r="305" spans="1:29" ht="15">
      <c r="A305" s="182" t="s">
        <v>1823</v>
      </c>
      <c r="B305" s="182" t="s">
        <v>1830</v>
      </c>
      <c r="C305" s="182"/>
      <c r="D305" s="183">
        <v>1.3383</v>
      </c>
      <c r="E305" s="183">
        <v>718.24</v>
      </c>
      <c r="F305" s="183">
        <v>824.1</v>
      </c>
      <c r="G305" s="184">
        <v>0</v>
      </c>
      <c r="H305" s="184">
        <v>0</v>
      </c>
      <c r="I305" s="184">
        <v>0</v>
      </c>
      <c r="J305" s="177" t="b">
        <f>IF(ISBLANK(CertifiedCrop[[#This Row],[1. Identifiant interne d’exploitation agricole*]]),"",IF(ISERROR(MATCH(CertifiedCrop[[#This Row],[1. Identifiant interne d’exploitation agricole*]],GroupMember[1. Identifiant interne d’exploitation agricole*],0)),FALSE,TRUE))</f>
        <v>1</v>
      </c>
      <c r="K305" s="177" t="b">
        <f t="array" ref="K305">IF(ISBLANK(CertifiedCrop[[#This Row],[2. Produit agricole certifié*]]),"",IF(ISERROR(MATCH(1,(#REF!=CertifiedCrop[[#This Row],[2. Produit agricole certifié*]])*(#REF!=CertifiedCrop[[#This Row],[3. Variété**]]),0)),FALSE,TRUE))</f>
        <v>0</v>
      </c>
      <c r="L305" s="185" t="str">
        <f t="shared" si="20"/>
        <v/>
      </c>
      <c r="M305" s="186" t="str">
        <f t="shared" si="21"/>
        <v/>
      </c>
      <c r="N305" s="187" t="str">
        <f t="shared" si="22"/>
        <v/>
      </c>
      <c r="O305" s="188">
        <f t="shared" si="23"/>
        <v>536.68086378241048</v>
      </c>
      <c r="P305" s="188">
        <f t="shared" si="24"/>
        <v>615.78121497422103</v>
      </c>
      <c r="Q305" s="178" t="str">
        <f>IFERROR((VLOOKUP(A305,GM_Table,8,FALSE)-SUMIFS(D:D,A:A,A305,B:B,B305,C:C,C305)),"")</f>
        <v/>
      </c>
      <c r="R305" s="178" t="str">
        <f>IFERROR(CONCATENATE(VLOOKUP(A305,GM_Table,12,FALSE)," ",(VLOOKUP(A305,GM_Table,13,FALSE))),"")</f>
        <v/>
      </c>
      <c r="T305" s="203">
        <v>620.11098689144308</v>
      </c>
      <c r="U305" s="203">
        <v>0</v>
      </c>
      <c r="V305" s="204" t="s">
        <v>2597</v>
      </c>
      <c r="W305" s="203">
        <v>553.67052401021704</v>
      </c>
      <c r="X305" s="205">
        <v>-10.714285714285714</v>
      </c>
      <c r="Y305" s="204" t="s">
        <v>2597</v>
      </c>
      <c r="Z305" s="204" t="s">
        <v>2597</v>
      </c>
      <c r="AA305" s="204" t="s">
        <v>2597</v>
      </c>
      <c r="AB305" s="204" t="s">
        <v>2597</v>
      </c>
      <c r="AC305" s="204" t="s">
        <v>2597</v>
      </c>
    </row>
    <row r="306" spans="1:29" ht="15">
      <c r="A306" s="182" t="s">
        <v>1825</v>
      </c>
      <c r="B306" s="182" t="s">
        <v>1830</v>
      </c>
      <c r="C306" s="182"/>
      <c r="D306" s="183">
        <v>1.1314</v>
      </c>
      <c r="E306" s="183">
        <v>569.49602276913345</v>
      </c>
      <c r="F306" s="183">
        <v>701.41242396741166</v>
      </c>
      <c r="G306" s="184">
        <v>0</v>
      </c>
      <c r="H306" s="184">
        <v>0</v>
      </c>
      <c r="I306" s="184">
        <v>0</v>
      </c>
      <c r="J306" s="177" t="b">
        <f>IF(ISBLANK(CertifiedCrop[[#This Row],[1. Identifiant interne d’exploitation agricole*]]),"",IF(ISERROR(MATCH(CertifiedCrop[[#This Row],[1. Identifiant interne d’exploitation agricole*]],GroupMember[1. Identifiant interne d’exploitation agricole*],0)),FALSE,TRUE))</f>
        <v>1</v>
      </c>
      <c r="K306" s="177" t="b">
        <f t="array" ref="K306">IF(ISBLANK(CertifiedCrop[[#This Row],[2. Produit agricole certifié*]]),"",IF(ISERROR(MATCH(1,(#REF!=CertifiedCrop[[#This Row],[2. Produit agricole certifié*]])*(#REF!=CertifiedCrop[[#This Row],[3. Variété**]]),0)),FALSE,TRUE))</f>
        <v>0</v>
      </c>
      <c r="L306" s="185" t="str">
        <f t="shared" si="20"/>
        <v/>
      </c>
      <c r="M306" s="186" t="str">
        <f t="shared" si="21"/>
        <v/>
      </c>
      <c r="N306" s="187" t="str">
        <f t="shared" si="22"/>
        <v/>
      </c>
      <c r="O306" s="188">
        <f t="shared" si="23"/>
        <v>503.35515535542999</v>
      </c>
      <c r="P306" s="188">
        <f t="shared" si="24"/>
        <v>619.95087852873576</v>
      </c>
      <c r="Q306" s="178" t="str">
        <f>IFERROR((VLOOKUP(A306,GM_Table,8,FALSE)-SUMIFS(D:D,A:A,A306,B:B,B306,C:C,C306)),"")</f>
        <v/>
      </c>
      <c r="R306" s="178" t="str">
        <f>IFERROR(CONCATENATE(VLOOKUP(A306,GM_Table,12,FALSE)," ",(VLOOKUP(A306,GM_Table,13,FALSE))),"")</f>
        <v/>
      </c>
      <c r="T306" s="203">
        <v>619.95087852873576</v>
      </c>
      <c r="U306" s="203">
        <v>0</v>
      </c>
      <c r="V306" s="204" t="s">
        <v>2597</v>
      </c>
      <c r="W306" s="203">
        <v>553.52757011494259</v>
      </c>
      <c r="X306" s="205">
        <v>-10.714285714285722</v>
      </c>
      <c r="Y306" s="204" t="s">
        <v>2597</v>
      </c>
      <c r="Z306" s="204" t="s">
        <v>2597</v>
      </c>
      <c r="AA306" s="204" t="s">
        <v>2597</v>
      </c>
      <c r="AB306" s="204" t="s">
        <v>2597</v>
      </c>
      <c r="AC306" s="204" t="s">
        <v>2597</v>
      </c>
    </row>
    <row r="307" spans="1:29" ht="15">
      <c r="A307" s="182" t="s">
        <v>1827</v>
      </c>
      <c r="B307" s="182" t="s">
        <v>1830</v>
      </c>
      <c r="C307" s="182"/>
      <c r="D307" s="183">
        <v>1.4827999999999999</v>
      </c>
      <c r="E307" s="183">
        <v>793.47972537717646</v>
      </c>
      <c r="F307" s="183">
        <v>919.66637877825394</v>
      </c>
      <c r="G307" s="184">
        <v>0</v>
      </c>
      <c r="H307" s="184">
        <v>0</v>
      </c>
      <c r="I307" s="184">
        <v>0</v>
      </c>
      <c r="J307" s="177" t="b">
        <f>IF(ISBLANK(CertifiedCrop[[#This Row],[1. Identifiant interne d’exploitation agricole*]]),"",IF(ISERROR(MATCH(CertifiedCrop[[#This Row],[1. Identifiant interne d’exploitation agricole*]],GroupMember[1. Identifiant interne d’exploitation agricole*],0)),FALSE,TRUE))</f>
        <v>1</v>
      </c>
      <c r="K307" s="177" t="b">
        <f t="array" ref="K307">IF(ISBLANK(CertifiedCrop[[#This Row],[2. Produit agricole certifié*]]),"",IF(ISERROR(MATCH(1,(#REF!=CertifiedCrop[[#This Row],[2. Produit agricole certifié*]])*(#REF!=CertifiedCrop[[#This Row],[3. Variété**]]),0)),FALSE,TRUE))</f>
        <v>0</v>
      </c>
      <c r="L307" s="185" t="str">
        <f t="shared" si="20"/>
        <v/>
      </c>
      <c r="M307" s="186" t="str">
        <f t="shared" si="21"/>
        <v/>
      </c>
      <c r="N307" s="187" t="str">
        <f t="shared" si="22"/>
        <v/>
      </c>
      <c r="O307" s="188">
        <f t="shared" si="23"/>
        <v>535.12255555515003</v>
      </c>
      <c r="P307" s="188">
        <f t="shared" si="24"/>
        <v>620.22280737675612</v>
      </c>
      <c r="Q307" s="178" t="str">
        <f>IFERROR((VLOOKUP(A307,GM_Table,8,FALSE)-SUMIFS(D:D,A:A,A307,B:B,B307,C:C,C307)),"")</f>
        <v/>
      </c>
      <c r="R307" s="178" t="str">
        <f>IFERROR(CONCATENATE(VLOOKUP(A307,GM_Table,12,FALSE)," ",(VLOOKUP(A307,GM_Table,13,FALSE))),"")</f>
        <v/>
      </c>
      <c r="T307" s="203">
        <v>620.22280737675612</v>
      </c>
      <c r="U307" s="203">
        <v>0</v>
      </c>
      <c r="V307" s="204" t="s">
        <v>2597</v>
      </c>
      <c r="W307" s="203">
        <v>553.77036372924658</v>
      </c>
      <c r="X307" s="205">
        <v>-10.714285714285706</v>
      </c>
      <c r="Y307" s="204" t="s">
        <v>2597</v>
      </c>
      <c r="Z307" s="204" t="s">
        <v>2597</v>
      </c>
      <c r="AA307" s="204" t="s">
        <v>2597</v>
      </c>
      <c r="AB307" s="204" t="s">
        <v>2597</v>
      </c>
      <c r="AC307" s="204" t="s">
        <v>2597</v>
      </c>
    </row>
  </sheetData>
  <sheetProtection insertRows="0" deleteRows="0"/>
  <protectedRanges>
    <protectedRange sqref="J1 N1:R1 J3:R1048576" name="DataValidation"/>
    <protectedRange sqref="J2:R2" name="DataValidation_1"/>
    <protectedRange sqref="K1:M1" name="DataValidation_2"/>
  </protectedRanges>
  <autoFilter ref="T2:AC307"/>
  <mergeCells count="1">
    <mergeCell ref="A1:I1"/>
  </mergeCells>
  <conditionalFormatting sqref="L3:L307">
    <cfRule type="cellIs" dxfId="69" priority="6" operator="lessThan">
      <formula>0</formula>
    </cfRule>
  </conditionalFormatting>
  <conditionalFormatting sqref="L3:N307">
    <cfRule type="containsText" dxfId="68" priority="105" operator="containsText" text="!">
      <formula>NOT(ISERROR(SEARCH("!",L3)))</formula>
    </cfRule>
  </conditionalFormatting>
  <conditionalFormatting sqref="Q3:Q307">
    <cfRule type="cellIs" dxfId="67" priority="3" operator="equal">
      <formula>0</formula>
    </cfRule>
  </conditionalFormatting>
  <conditionalFormatting sqref="J3:K307">
    <cfRule type="containsText" dxfId="66" priority="1" operator="containsText" text="FALSE">
      <formula>NOT(ISERROR(SEARCH("FALSE",J3)))</formula>
    </cfRule>
  </conditionalFormatting>
  <conditionalFormatting sqref="O3:O307">
    <cfRule type="top10" dxfId="65" priority="109" percent="1" rank="10"/>
  </conditionalFormatting>
  <conditionalFormatting sqref="P3:P307">
    <cfRule type="top10" dxfId="64" priority="110" percent="1" rank="10"/>
  </conditionalFormatting>
  <dataValidations xWindow="200" yWindow="579" count="16">
    <dataValidation allowBlank="1" showErrorMessage="1" promptTitle="Harvest estimation" prompt="Please put the correct value" sqref="E48 H23 H17 H10 H3 E23 E17 E10 E3 E41 E34"/>
    <dataValidation allowBlank="1" showInputMessage="1" showErrorMessage="1" promptTitle="Top performers" prompt="The yield is kg of estimated harvest (5.) per hectare (4.).&#10;Most of the group members would have similar yields. &#10;Here, the 10% highest values are highlighted in yellow, as the difference may indicate an error in the data. &#10;Please verify them." sqref="O2"/>
    <dataValidation allowBlank="1" showInputMessage="1" showErrorMessage="1" promptTitle="Sold=&gt;Harvest" prompt="A farmer cannot sell more certified product than harvested in the previous year.&#10;&#10;If you see an !, please check the numbers again." sqref="L2"/>
    <dataValidation allowBlank="1" showInputMessage="1" showErrorMessage="1" promptTitle="This year - last year harvest" prompt="The harvest changes from year to year, but large changes may indicate a mistake in the data. In here we indicate changes higher than 25%.&#10;&#10;Please double-check the harvest data (5. and 6.) if the cell is yellow." sqref="M2"/>
    <dataValidation allowBlank="1" showInputMessage="1" showErrorMessage="1" promptTitle="Sold previous year - 2 years ago" prompt="The amount of product that the group member sells to the group may change from year to year, but a large difference may indicate an error in the data. &#10;&#10;If the cell is yellow, please double-check the sale/delivery data (7. and 8.)." sqref="N2"/>
    <dataValidation allowBlank="1" showInputMessage="1" showErrorMessage="1" promptTitle="Top performers " prompt="The yield is kg of last year's harvest (6.) per hectare (4.).&#10;Most of the group members would have similar yields. &#10;&#10;Here, the 10% highest values are highlighted in yellow, as the difference may indicate an error in the data. &#10;Please verify them" sqref="P2"/>
    <dataValidation allowBlank="1" showInputMessage="1" showErrorMessage="1" promptTitle="Check the farm area" prompt="This column compares the sum of the certified area for a group member with the total farm area. &#10;Positive if the farm has forests or pastur or non-certified crops (e.g. corn).&#10;Negative if intercropping e.g. coffee and pepper.&#10;&#10;Please check yellow cells." sqref="Q2"/>
    <dataValidation allowBlank="1" showInputMessage="1" showErrorMessage="1" promptTitle="Please select an option" prompt="Copy-pasting may generate errors when uploading the file. Make sure no typos are present. " sqref="B2"/>
    <dataValidation allowBlank="1" showInputMessage="1" showErrorMessage="1" promptTitle="Mandatory if available" prompt="Copy-pasting may generate errors when uploading the file. Make sure no typos are present. " sqref="C2"/>
    <dataValidation allowBlank="1" showInputMessage="1" showErrorMessage="1" promptTitle="Certified Volume Current Year" prompt="This represents the Certified Volume for current year.&#10;&#10;Use format of the cell as &quot;Number&quot;" sqref="E2"/>
    <dataValidation allowBlank="1" showInputMessage="1" showErrorMessage="1" promptTitle="Certified Harvest Previous Year" prompt="This represents the actual volume certified for the specific crop in the previous year. &#10;&#10;Use format of the cell as &quot;Number&quot;" sqref="F2"/>
    <dataValidation allowBlank="1" showInputMessage="1" showErrorMessage="1" promptTitle="Mandatory Information" prompt="This represents the certified volume sold/delivered by the member to the Group.&#10;&#10;Use format of the cell as &quot;Number&quot;" sqref="G2"/>
    <dataValidation allowBlank="1" showInputMessage="1" showErrorMessage="1" prompt="Make sure to use the same ID presented on tab 1. Group member, column A&#10;&#10;If a group member produces more than one crop (e.g. coffee and oranges), or variety (arabica and robusta), in different places must be the same ID with the same Group Member." sqref="A2"/>
    <dataValidation allowBlank="1" showInputMessage="1" showErrorMessage="1" promptTitle="Mandatory Information" prompt="All of the farm area covered by this crop, e.g. coffee, even if these are several farm units.&#10;&#10;Use format of the cell as &quot;Number&quot;" sqref="D2"/>
    <dataValidation allowBlank="1" showInputMessage="1" showErrorMessage="1" prompt="Use format of the cell as &quot;Number&quot;" sqref="H2:I2"/>
    <dataValidation allowBlank="1" showInputMessage="1" showErrorMessage="1" promptTitle="No need to fill in" prompt="The information indicate here will be automatically presented. There is no need to fill in the colunms.&#10;&#10;You need to interpretate it was described below." sqref="M1"/>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sheetPr codeName="Sheet2">
    <tabColor rgb="FF94BA29"/>
  </sheetPr>
  <dimension ref="A1:K307"/>
  <sheetViews>
    <sheetView zoomScale="80" zoomScaleNormal="80" workbookViewId="0">
      <pane xSplit="1" topLeftCell="B1" activePane="topRight" state="frozen"/>
      <selection activeCell="B4" sqref="B4"/>
      <selection pane="topRight" activeCell="D34" sqref="D33:D34"/>
    </sheetView>
  </sheetViews>
  <sheetFormatPr baseColWidth="10" defaultColWidth="8.7109375" defaultRowHeight="13.5"/>
  <cols>
    <col min="1" max="1" width="25.5703125" style="6" customWidth="1"/>
    <col min="2" max="2" width="23.5703125" style="6" customWidth="1"/>
    <col min="3" max="3" width="21" style="9" customWidth="1"/>
    <col min="4" max="4" width="24.28515625" style="201" customWidth="1"/>
    <col min="5" max="5" width="26.28515625" style="201" customWidth="1"/>
    <col min="6" max="6" width="30.42578125" style="77" customWidth="1"/>
    <col min="7" max="7" width="18" style="77" customWidth="1"/>
    <col min="8" max="8" width="21.28515625" style="77" customWidth="1"/>
    <col min="9" max="9" width="24.7109375" style="77" customWidth="1"/>
    <col min="10" max="10" width="29.28515625" style="77" customWidth="1"/>
    <col min="11" max="16384" width="8.7109375" style="6"/>
  </cols>
  <sheetData>
    <row r="1" spans="1:11" s="90" customFormat="1" ht="17.25">
      <c r="A1" s="238" t="s">
        <v>165</v>
      </c>
      <c r="B1" s="238"/>
      <c r="C1" s="238"/>
      <c r="D1" s="238"/>
      <c r="E1" s="238"/>
      <c r="F1" s="89"/>
      <c r="G1" s="239" t="s">
        <v>169</v>
      </c>
      <c r="H1" s="240"/>
      <c r="I1" s="240"/>
      <c r="J1" s="240"/>
    </row>
    <row r="2" spans="1:11" s="90" customFormat="1" ht="60">
      <c r="A2" s="88" t="s">
        <v>100</v>
      </c>
      <c r="B2" s="95" t="s">
        <v>161</v>
      </c>
      <c r="C2" s="96" t="s">
        <v>162</v>
      </c>
      <c r="D2" s="95" t="s">
        <v>163</v>
      </c>
      <c r="E2" s="95" t="s">
        <v>164</v>
      </c>
      <c r="F2" s="141" t="s">
        <v>152</v>
      </c>
      <c r="G2" s="158" t="s">
        <v>166</v>
      </c>
      <c r="H2" s="159" t="s">
        <v>167</v>
      </c>
      <c r="I2" s="158" t="s">
        <v>168</v>
      </c>
      <c r="J2" s="158" t="s">
        <v>160</v>
      </c>
      <c r="K2" s="94" t="s">
        <v>170</v>
      </c>
    </row>
    <row r="3" spans="1:11">
      <c r="A3" s="78" t="s">
        <v>666</v>
      </c>
      <c r="B3" s="7" t="s">
        <v>666</v>
      </c>
      <c r="C3" s="8">
        <v>2.1</v>
      </c>
      <c r="D3" s="196" t="s">
        <v>1856</v>
      </c>
      <c r="E3" s="196" t="s">
        <v>1857</v>
      </c>
      <c r="F3" s="144" t="b">
        <f>IF(ISBLANK(FarmUnit[[#This Row],[1. Identifiant interne d’exploitation agricole*]]),"",IF(ISERROR(MATCH(FarmUnit[[#This Row],[1. Identifiant interne d’exploitation agricole*]],GroupMember[1. Identifiant interne d’exploitation agricole*],0)),FALSE,TRUE))</f>
        <v>1</v>
      </c>
      <c r="G3" s="5" t="str">
        <f t="shared" ref="G3:G40" si="0">IF(D3=0,"",D3)</f>
        <v>7.03972</v>
      </c>
      <c r="H3" s="5" t="str">
        <f t="shared" ref="H3:H40" si="1">IF(E3=0,"",E3)</f>
        <v>-7.37989</v>
      </c>
      <c r="I3" s="22" t="str">
        <f t="array" ref="I3">IF(ISBLANK(C3),"",IF(C3=MAX(IF([1. Identifiant interne d’exploitation agricole*]=A3,[3. Superficie de l’unité agricole (ha)*])),"!","-"))</f>
        <v>!</v>
      </c>
      <c r="J3" s="10" t="str">
        <f t="shared" ref="J3:J40" si="2">IFERROR(CONCATENATE(VLOOKUP(A3,GM_Table,12,FALSE)," ",(VLOOKUP(A3,GM_Table,13,FALSE))),"")</f>
        <v/>
      </c>
    </row>
    <row r="4" spans="1:11">
      <c r="A4" s="78" t="s">
        <v>677</v>
      </c>
      <c r="B4" s="7" t="s">
        <v>677</v>
      </c>
      <c r="C4" s="8">
        <v>2.1160000000000001</v>
      </c>
      <c r="D4" s="196" t="s">
        <v>1858</v>
      </c>
      <c r="E4" s="196" t="s">
        <v>1859</v>
      </c>
      <c r="F4" s="144" t="b">
        <f>IF(ISBLANK(FarmUnit[[#This Row],[1. Identifiant interne d’exploitation agricole*]]),"",IF(ISERROR(MATCH(FarmUnit[[#This Row],[1. Identifiant interne d’exploitation agricole*]],GroupMember[1. Identifiant interne d’exploitation agricole*],0)),FALSE,TRUE))</f>
        <v>1</v>
      </c>
      <c r="G4" s="5" t="str">
        <f t="shared" si="0"/>
        <v>7.00887</v>
      </c>
      <c r="H4" s="5" t="str">
        <f t="shared" si="1"/>
        <v>-7.42261</v>
      </c>
      <c r="I4" s="22" t="str">
        <f t="array" ref="I4">IF(ISBLANK(C4),"",IF(C4=MAX(IF([1. Identifiant interne d’exploitation agricole*]=A4,[3. Superficie de l’unité agricole (ha)*])),"!","-"))</f>
        <v>!</v>
      </c>
      <c r="J4" s="10" t="str">
        <f t="shared" si="2"/>
        <v/>
      </c>
    </row>
    <row r="5" spans="1:11">
      <c r="A5" s="78" t="s">
        <v>682</v>
      </c>
      <c r="B5" s="78" t="s">
        <v>682</v>
      </c>
      <c r="C5" s="8">
        <v>14.41</v>
      </c>
      <c r="D5" s="196" t="s">
        <v>1860</v>
      </c>
      <c r="E5" s="196" t="s">
        <v>1861</v>
      </c>
      <c r="F5" s="144" t="b">
        <f>IF(ISBLANK(FarmUnit[[#This Row],[1. Identifiant interne d’exploitation agricole*]]),"",IF(ISERROR(MATCH(FarmUnit[[#This Row],[1. Identifiant interne d’exploitation agricole*]],GroupMember[1. Identifiant interne d’exploitation agricole*],0)),FALSE,TRUE))</f>
        <v>1</v>
      </c>
      <c r="G5" s="5" t="str">
        <f t="shared" si="0"/>
        <v>6.96647</v>
      </c>
      <c r="H5" s="5" t="str">
        <f t="shared" si="1"/>
        <v>-7.6984</v>
      </c>
      <c r="I5" s="22" t="str">
        <f t="array" ref="I5">IF(ISBLANK(C5),"",IF(C5=MAX(IF([1. Identifiant interne d’exploitation agricole*]=A5,[3. Superficie de l’unité agricole (ha)*])),"!","-"))</f>
        <v>!</v>
      </c>
      <c r="J5" s="10" t="str">
        <f t="shared" si="2"/>
        <v/>
      </c>
    </row>
    <row r="6" spans="1:11">
      <c r="A6" s="39" t="s">
        <v>686</v>
      </c>
      <c r="B6" s="7" t="s">
        <v>686</v>
      </c>
      <c r="C6" s="8">
        <v>2.7370999999999999</v>
      </c>
      <c r="D6" s="196" t="s">
        <v>1862</v>
      </c>
      <c r="E6" s="196" t="s">
        <v>1863</v>
      </c>
      <c r="F6" s="144" t="b">
        <f>IF(ISBLANK(FarmUnit[[#This Row],[1. Identifiant interne d’exploitation agricole*]]),"",IF(ISERROR(MATCH(FarmUnit[[#This Row],[1. Identifiant interne d’exploitation agricole*]],GroupMember[1. Identifiant interne d’exploitation agricole*],0)),FALSE,TRUE))</f>
        <v>1</v>
      </c>
      <c r="G6" s="5" t="str">
        <f t="shared" si="0"/>
        <v>7.21966</v>
      </c>
      <c r="H6" s="5" t="str">
        <f t="shared" si="1"/>
        <v>-7.78296</v>
      </c>
      <c r="I6" s="22" t="str">
        <f t="array" ref="I6">IF(ISBLANK(C6),"",IF(C6=MAX(IF([1. Identifiant interne d’exploitation agricole*]=A6,[3. Superficie de l’unité agricole (ha)*])),"!","-"))</f>
        <v>!</v>
      </c>
      <c r="J6" s="10" t="str">
        <f t="shared" si="2"/>
        <v/>
      </c>
    </row>
    <row r="7" spans="1:11">
      <c r="A7" s="78" t="s">
        <v>690</v>
      </c>
      <c r="B7" s="7" t="s">
        <v>690</v>
      </c>
      <c r="C7" s="8">
        <v>4.0831999999999997</v>
      </c>
      <c r="D7" s="196" t="s">
        <v>1864</v>
      </c>
      <c r="E7" s="196" t="s">
        <v>1865</v>
      </c>
      <c r="F7" s="144" t="b">
        <f>IF(ISBLANK(FarmUnit[[#This Row],[1. Identifiant interne d’exploitation agricole*]]),"",IF(ISERROR(MATCH(FarmUnit[[#This Row],[1. Identifiant interne d’exploitation agricole*]],GroupMember[1. Identifiant interne d’exploitation agricole*],0)),FALSE,TRUE))</f>
        <v>1</v>
      </c>
      <c r="G7" s="5" t="str">
        <f t="shared" si="0"/>
        <v>7.21429</v>
      </c>
      <c r="H7" s="5" t="str">
        <f t="shared" si="1"/>
        <v>-7.79746</v>
      </c>
      <c r="I7" s="22" t="str">
        <f t="array" ref="I7">IF(ISBLANK(C7),"",IF(C7=MAX(IF([1. Identifiant interne d’exploitation agricole*]=A7,[3. Superficie de l’unité agricole (ha)*])),"!","-"))</f>
        <v>!</v>
      </c>
      <c r="J7" s="10" t="str">
        <f t="shared" si="2"/>
        <v/>
      </c>
    </row>
    <row r="8" spans="1:11">
      <c r="A8" s="78" t="s">
        <v>695</v>
      </c>
      <c r="B8" s="7" t="s">
        <v>695</v>
      </c>
      <c r="C8" s="8">
        <v>15.86</v>
      </c>
      <c r="D8" s="196" t="s">
        <v>1866</v>
      </c>
      <c r="E8" s="196" t="s">
        <v>1867</v>
      </c>
      <c r="F8" s="144" t="b">
        <f>IF(ISBLANK(FarmUnit[[#This Row],[1. Identifiant interne d’exploitation agricole*]]),"",IF(ISERROR(MATCH(FarmUnit[[#This Row],[1. Identifiant interne d’exploitation agricole*]],GroupMember[1. Identifiant interne d’exploitation agricole*],0)),FALSE,TRUE))</f>
        <v>1</v>
      </c>
      <c r="G8" s="5" t="str">
        <f t="shared" si="0"/>
        <v>7.0322</v>
      </c>
      <c r="H8" s="5" t="str">
        <f t="shared" si="1"/>
        <v>-7.787</v>
      </c>
      <c r="I8" s="22" t="str">
        <f t="array" ref="I8">IF(ISBLANK(C8),"",IF(C8=MAX(IF([1. Identifiant interne d’exploitation agricole*]=A8,[3. Superficie de l’unité agricole (ha)*])),"!","-"))</f>
        <v>!</v>
      </c>
      <c r="J8" s="10" t="str">
        <f t="shared" si="2"/>
        <v/>
      </c>
    </row>
    <row r="9" spans="1:11">
      <c r="A9" s="78" t="s">
        <v>700</v>
      </c>
      <c r="B9" s="7" t="s">
        <v>700</v>
      </c>
      <c r="C9" s="8">
        <v>1.2861</v>
      </c>
      <c r="D9" s="196" t="s">
        <v>1868</v>
      </c>
      <c r="E9" s="196" t="s">
        <v>1869</v>
      </c>
      <c r="F9" s="144" t="b">
        <f>IF(ISBLANK(FarmUnit[[#This Row],[1. Identifiant interne d’exploitation agricole*]]),"",IF(ISERROR(MATCH(FarmUnit[[#This Row],[1. Identifiant interne d’exploitation agricole*]],GroupMember[1. Identifiant interne d’exploitation agricole*],0)),FALSE,TRUE))</f>
        <v>1</v>
      </c>
      <c r="G9" s="5" t="str">
        <f t="shared" si="0"/>
        <v>7.0309</v>
      </c>
      <c r="H9" s="5" t="str">
        <f t="shared" si="1"/>
        <v>-7.7862</v>
      </c>
      <c r="I9" s="22" t="str">
        <f t="array" ref="I9">IF(ISBLANK(C9),"",IF(C9=MAX(IF([1. Identifiant interne d’exploitation agricole*]=A9,[3. Superficie de l’unité agricole (ha)*])),"!","-"))</f>
        <v>!</v>
      </c>
      <c r="J9" s="10" t="str">
        <f t="shared" si="2"/>
        <v/>
      </c>
    </row>
    <row r="10" spans="1:11">
      <c r="A10" s="78" t="s">
        <v>705</v>
      </c>
      <c r="B10" s="7" t="s">
        <v>705</v>
      </c>
      <c r="C10" s="8">
        <v>2.6172</v>
      </c>
      <c r="D10" s="196" t="s">
        <v>1870</v>
      </c>
      <c r="E10" s="196" t="s">
        <v>1871</v>
      </c>
      <c r="F10" s="144" t="b">
        <f>IF(ISBLANK(FarmUnit[[#This Row],[1. Identifiant interne d’exploitation agricole*]]),"",IF(ISERROR(MATCH(FarmUnit[[#This Row],[1. Identifiant interne d’exploitation agricole*]],GroupMember[1. Identifiant interne d’exploitation agricole*],0)),FALSE,TRUE))</f>
        <v>1</v>
      </c>
      <c r="G10" s="5" t="str">
        <f t="shared" si="0"/>
        <v>7.0106</v>
      </c>
      <c r="H10" s="5" t="str">
        <f t="shared" si="1"/>
        <v>-7.7762</v>
      </c>
      <c r="I10" s="22" t="str">
        <f t="array" ref="I10">IF(ISBLANK(C10),"",IF(C10=MAX(IF([1. Identifiant interne d’exploitation agricole*]=A10,[3. Superficie de l’unité agricole (ha)*])),"!","-"))</f>
        <v>!</v>
      </c>
      <c r="J10" s="10" t="str">
        <f t="shared" si="2"/>
        <v/>
      </c>
    </row>
    <row r="11" spans="1:11">
      <c r="A11" s="78" t="s">
        <v>710</v>
      </c>
      <c r="B11" s="7" t="s">
        <v>710</v>
      </c>
      <c r="C11" s="8">
        <v>1.5907</v>
      </c>
      <c r="D11" s="196" t="s">
        <v>1872</v>
      </c>
      <c r="E11" s="196" t="s">
        <v>1873</v>
      </c>
      <c r="F11" s="144" t="b">
        <f>IF(ISBLANK(FarmUnit[[#This Row],[1. Identifiant interne d’exploitation agricole*]]),"",IF(ISERROR(MATCH(FarmUnit[[#This Row],[1. Identifiant interne d’exploitation agricole*]],GroupMember[1. Identifiant interne d’exploitation agricole*],0)),FALSE,TRUE))</f>
        <v>1</v>
      </c>
      <c r="G11" s="5" t="str">
        <f t="shared" si="0"/>
        <v>7.0886</v>
      </c>
      <c r="H11" s="5" t="str">
        <f t="shared" si="1"/>
        <v>-7.7574</v>
      </c>
      <c r="I11" s="22" t="str">
        <f t="array" ref="I11">IF(ISBLANK(C11),"",IF(C11=MAX(IF([1. Identifiant interne d’exploitation agricole*]=A11,[3. Superficie de l’unité agricole (ha)*])),"!","-"))</f>
        <v>!</v>
      </c>
      <c r="J11" s="10" t="str">
        <f t="shared" si="2"/>
        <v/>
      </c>
    </row>
    <row r="12" spans="1:11">
      <c r="A12" s="39" t="s">
        <v>715</v>
      </c>
      <c r="B12" s="7" t="s">
        <v>715</v>
      </c>
      <c r="C12" s="8">
        <v>1.2591000000000001</v>
      </c>
      <c r="D12" s="196" t="s">
        <v>1874</v>
      </c>
      <c r="E12" s="196" t="s">
        <v>1875</v>
      </c>
      <c r="F12" s="144" t="b">
        <f>IF(ISBLANK(FarmUnit[[#This Row],[1. Identifiant interne d’exploitation agricole*]]),"",IF(ISERROR(MATCH(FarmUnit[[#This Row],[1. Identifiant interne d’exploitation agricole*]],GroupMember[1. Identifiant interne d’exploitation agricole*],0)),FALSE,TRUE))</f>
        <v>1</v>
      </c>
      <c r="G12" s="5" t="str">
        <f t="shared" si="0"/>
        <v>7.17652</v>
      </c>
      <c r="H12" s="5" t="str">
        <f t="shared" si="1"/>
        <v>-7.78613</v>
      </c>
      <c r="I12" s="22" t="str">
        <f t="array" ref="I12">IF(ISBLANK(C12),"",IF(C12=MAX(IF([1. Identifiant interne d’exploitation agricole*]=A12,[3. Superficie de l’unité agricole (ha)*])),"!","-"))</f>
        <v>!</v>
      </c>
      <c r="J12" s="10" t="str">
        <f t="shared" si="2"/>
        <v/>
      </c>
    </row>
    <row r="13" spans="1:11">
      <c r="A13" s="39" t="s">
        <v>721</v>
      </c>
      <c r="B13" s="7" t="s">
        <v>721</v>
      </c>
      <c r="C13" s="8">
        <v>0.67530000000000001</v>
      </c>
      <c r="D13" s="196" t="s">
        <v>1876</v>
      </c>
      <c r="E13" s="196" t="s">
        <v>1877</v>
      </c>
      <c r="F13" s="144" t="b">
        <f>IF(ISBLANK(FarmUnit[[#This Row],[1. Identifiant interne d’exploitation agricole*]]),"",IF(ISERROR(MATCH(FarmUnit[[#This Row],[1. Identifiant interne d’exploitation agricole*]],GroupMember[1. Identifiant interne d’exploitation agricole*],0)),FALSE,TRUE))</f>
        <v>1</v>
      </c>
      <c r="G13" s="5" t="str">
        <f t="shared" si="0"/>
        <v>7.18602</v>
      </c>
      <c r="H13" s="5" t="str">
        <f t="shared" si="1"/>
        <v>-7.78021</v>
      </c>
      <c r="I13" s="22" t="str">
        <f t="array" ref="I13">IF(ISBLANK(C13),"",IF(C13=MAX(IF([1. Identifiant interne d’exploitation agricole*]=A13,[3. Superficie de l’unité agricole (ha)*])),"!","-"))</f>
        <v>!</v>
      </c>
      <c r="J13" s="10" t="str">
        <f t="shared" si="2"/>
        <v/>
      </c>
    </row>
    <row r="14" spans="1:11">
      <c r="A14" s="39" t="s">
        <v>725</v>
      </c>
      <c r="B14" s="7" t="s">
        <v>725</v>
      </c>
      <c r="C14" s="8">
        <v>8.4649000000000001</v>
      </c>
      <c r="D14" s="196" t="s">
        <v>1878</v>
      </c>
      <c r="E14" s="196" t="s">
        <v>1879</v>
      </c>
      <c r="F14" s="144" t="b">
        <f>IF(ISBLANK(FarmUnit[[#This Row],[1. Identifiant interne d’exploitation agricole*]]),"",IF(ISERROR(MATCH(FarmUnit[[#This Row],[1. Identifiant interne d’exploitation agricole*]],GroupMember[1. Identifiant interne d’exploitation agricole*],0)),FALSE,TRUE))</f>
        <v>1</v>
      </c>
      <c r="G14" s="5" t="str">
        <f t="shared" si="0"/>
        <v>7.0362</v>
      </c>
      <c r="H14" s="5" t="str">
        <f t="shared" si="1"/>
        <v>-7.7721</v>
      </c>
      <c r="I14" s="22" t="str">
        <f t="array" ref="I14">IF(ISBLANK(C14),"",IF(C14=MAX(IF([1. Identifiant interne d’exploitation agricole*]=A14,[3. Superficie de l’unité agricole (ha)*])),"!","-"))</f>
        <v>!</v>
      </c>
      <c r="J14" s="10" t="str">
        <f t="shared" si="2"/>
        <v/>
      </c>
    </row>
    <row r="15" spans="1:11">
      <c r="A15" s="39" t="s">
        <v>730</v>
      </c>
      <c r="B15" s="39" t="s">
        <v>730</v>
      </c>
      <c r="C15" s="8">
        <v>6.8327</v>
      </c>
      <c r="D15" s="196" t="s">
        <v>1880</v>
      </c>
      <c r="E15" s="196" t="s">
        <v>1881</v>
      </c>
      <c r="F15" s="144" t="b">
        <f>IF(ISBLANK(FarmUnit[[#This Row],[1. Identifiant interne d’exploitation agricole*]]),"",IF(ISERROR(MATCH(FarmUnit[[#This Row],[1. Identifiant interne d’exploitation agricole*]],GroupMember[1. Identifiant interne d’exploitation agricole*],0)),FALSE,TRUE))</f>
        <v>1</v>
      </c>
      <c r="G15" s="5" t="str">
        <f t="shared" si="0"/>
        <v>7.04483</v>
      </c>
      <c r="H15" s="5" t="str">
        <f t="shared" si="1"/>
        <v>-7.77869</v>
      </c>
      <c r="I15" s="22" t="str">
        <f t="array" ref="I15">IF(ISBLANK(C15),"",IF(C15=MAX(IF([1. Identifiant interne d’exploitation agricole*]=A15,[3. Superficie de l’unité agricole (ha)*])),"!","-"))</f>
        <v>!</v>
      </c>
      <c r="J15" s="10" t="str">
        <f t="shared" si="2"/>
        <v/>
      </c>
    </row>
    <row r="16" spans="1:11">
      <c r="A16" s="39" t="s">
        <v>734</v>
      </c>
      <c r="B16" s="7" t="s">
        <v>734</v>
      </c>
      <c r="C16" s="8">
        <v>3.9851000000000001</v>
      </c>
      <c r="D16" s="196" t="s">
        <v>1882</v>
      </c>
      <c r="E16" s="196" t="s">
        <v>1883</v>
      </c>
      <c r="F16" s="144" t="b">
        <f>IF(ISBLANK(FarmUnit[[#This Row],[1. Identifiant interne d’exploitation agricole*]]),"",IF(ISERROR(MATCH(FarmUnit[[#This Row],[1. Identifiant interne d’exploitation agricole*]],GroupMember[1. Identifiant interne d’exploitation agricole*],0)),FALSE,TRUE))</f>
        <v>1</v>
      </c>
      <c r="G16" s="5" t="str">
        <f t="shared" si="0"/>
        <v>7.17563</v>
      </c>
      <c r="H16" s="5" t="str">
        <f t="shared" si="1"/>
        <v>-7.76776</v>
      </c>
      <c r="I16" s="22" t="str">
        <f t="array" ref="I16">IF(ISBLANK(C16),"",IF(C16=MAX(IF([1. Identifiant interne d’exploitation agricole*]=A16,[3. Superficie de l’unité agricole (ha)*])),"!","-"))</f>
        <v>!</v>
      </c>
      <c r="J16" s="10" t="str">
        <f t="shared" si="2"/>
        <v/>
      </c>
    </row>
    <row r="17" spans="1:10">
      <c r="A17" s="39" t="s">
        <v>739</v>
      </c>
      <c r="B17" s="7" t="s">
        <v>739</v>
      </c>
      <c r="C17" s="8">
        <v>1.7168000000000001</v>
      </c>
      <c r="D17" s="196" t="s">
        <v>1884</v>
      </c>
      <c r="E17" s="196" t="s">
        <v>1885</v>
      </c>
      <c r="F17" s="144" t="b">
        <f>IF(ISBLANK(FarmUnit[[#This Row],[1. Identifiant interne d’exploitation agricole*]]),"",IF(ISERROR(MATCH(FarmUnit[[#This Row],[1. Identifiant interne d’exploitation agricole*]],GroupMember[1. Identifiant interne d’exploitation agricole*],0)),FALSE,TRUE))</f>
        <v>1</v>
      </c>
      <c r="G17" s="5" t="str">
        <f t="shared" si="0"/>
        <v>7.16516</v>
      </c>
      <c r="H17" s="5" t="str">
        <f t="shared" si="1"/>
        <v>-7.75858</v>
      </c>
      <c r="I17" s="22" t="str">
        <f t="array" ref="I17">IF(ISBLANK(C17),"",IF(C17=MAX(IF([1. Identifiant interne d’exploitation agricole*]=A17,[3. Superficie de l’unité agricole (ha)*])),"!","-"))</f>
        <v>!</v>
      </c>
      <c r="J17" s="10" t="str">
        <f t="shared" si="2"/>
        <v/>
      </c>
    </row>
    <row r="18" spans="1:10">
      <c r="A18" s="39" t="s">
        <v>744</v>
      </c>
      <c r="B18" s="7" t="s">
        <v>744</v>
      </c>
      <c r="C18" s="8">
        <v>2.5081000000000002</v>
      </c>
      <c r="D18" s="196" t="s">
        <v>1886</v>
      </c>
      <c r="E18" s="196" t="s">
        <v>1887</v>
      </c>
      <c r="F18" s="144" t="b">
        <f>IF(ISBLANK(FarmUnit[[#This Row],[1. Identifiant interne d’exploitation agricole*]]),"",IF(ISERROR(MATCH(FarmUnit[[#This Row],[1. Identifiant interne d’exploitation agricole*]],GroupMember[1. Identifiant interne d’exploitation agricole*],0)),FALSE,TRUE))</f>
        <v>1</v>
      </c>
      <c r="G18" s="5" t="str">
        <f t="shared" si="0"/>
        <v>7.16354</v>
      </c>
      <c r="H18" s="5" t="str">
        <f t="shared" si="1"/>
        <v>-7.72914</v>
      </c>
      <c r="I18" s="22" t="str">
        <f t="array" ref="I18">IF(ISBLANK(C18),"",IF(C18=MAX(IF([1. Identifiant interne d’exploitation agricole*]=A18,[3. Superficie de l’unité agricole (ha)*])),"!","-"))</f>
        <v>!</v>
      </c>
      <c r="J18" s="10" t="str">
        <f t="shared" si="2"/>
        <v/>
      </c>
    </row>
    <row r="19" spans="1:10" ht="15">
      <c r="A19" s="39" t="s">
        <v>748</v>
      </c>
      <c r="B19" s="7" t="s">
        <v>748</v>
      </c>
      <c r="C19" s="8">
        <v>2.8424999999999998</v>
      </c>
      <c r="D19" s="197" t="s">
        <v>1888</v>
      </c>
      <c r="E19" s="197" t="s">
        <v>1889</v>
      </c>
      <c r="F19" s="144" t="b">
        <f>IF(ISBLANK(FarmUnit[[#This Row],[1. Identifiant interne d’exploitation agricole*]]),"",IF(ISERROR(MATCH(FarmUnit[[#This Row],[1. Identifiant interne d’exploitation agricole*]],GroupMember[1. Identifiant interne d’exploitation agricole*],0)),FALSE,TRUE))</f>
        <v>1</v>
      </c>
      <c r="G19" s="5" t="str">
        <f t="shared" si="0"/>
        <v>7.04262</v>
      </c>
      <c r="H19" s="5" t="str">
        <f t="shared" si="1"/>
        <v>-7.68731</v>
      </c>
      <c r="I19" s="22" t="str">
        <f t="array" ref="I19">IF(ISBLANK(C19),"",IF(C19=MAX(IF([1. Identifiant interne d’exploitation agricole*]=A19,[3. Superficie de l’unité agricole (ha)*])),"!","-"))</f>
        <v>!</v>
      </c>
      <c r="J19" s="10" t="str">
        <f t="shared" si="2"/>
        <v/>
      </c>
    </row>
    <row r="20" spans="1:10">
      <c r="A20" s="39" t="s">
        <v>751</v>
      </c>
      <c r="B20" s="7" t="s">
        <v>751</v>
      </c>
      <c r="C20" s="8">
        <v>2.2803</v>
      </c>
      <c r="D20" s="196" t="s">
        <v>1890</v>
      </c>
      <c r="E20" s="196" t="s">
        <v>1891</v>
      </c>
      <c r="F20" s="144" t="b">
        <f>IF(ISBLANK(FarmUnit[[#This Row],[1. Identifiant interne d’exploitation agricole*]]),"",IF(ISERROR(MATCH(FarmUnit[[#This Row],[1. Identifiant interne d’exploitation agricole*]],GroupMember[1. Identifiant interne d’exploitation agricole*],0)),FALSE,TRUE))</f>
        <v>1</v>
      </c>
      <c r="G20" s="5" t="str">
        <f t="shared" si="0"/>
        <v>7.04056</v>
      </c>
      <c r="H20" s="5" t="str">
        <f t="shared" si="1"/>
        <v>-7.67853</v>
      </c>
      <c r="I20" s="22" t="str">
        <f t="array" ref="I20">IF(ISBLANK(C20),"",IF(C20=MAX(IF([1. Identifiant interne d’exploitation agricole*]=A20,[3. Superficie de l’unité agricole (ha)*])),"!","-"))</f>
        <v>!</v>
      </c>
      <c r="J20" s="10" t="str">
        <f t="shared" si="2"/>
        <v/>
      </c>
    </row>
    <row r="21" spans="1:10">
      <c r="A21" s="39" t="s">
        <v>754</v>
      </c>
      <c r="B21" s="7" t="s">
        <v>754</v>
      </c>
      <c r="C21" s="8">
        <v>4.0343999999999998</v>
      </c>
      <c r="D21" s="196" t="s">
        <v>1892</v>
      </c>
      <c r="E21" s="196" t="s">
        <v>1893</v>
      </c>
      <c r="F21" s="144" t="b">
        <f>IF(ISBLANK(FarmUnit[[#This Row],[1. Identifiant interne d’exploitation agricole*]]),"",IF(ISERROR(MATCH(FarmUnit[[#This Row],[1. Identifiant interne d’exploitation agricole*]],GroupMember[1. Identifiant interne d’exploitation agricole*],0)),FALSE,TRUE))</f>
        <v>1</v>
      </c>
      <c r="G21" s="5" t="str">
        <f t="shared" si="0"/>
        <v>7.04423</v>
      </c>
      <c r="H21" s="5" t="str">
        <f t="shared" si="1"/>
        <v>-7.68292</v>
      </c>
      <c r="I21" s="22" t="str">
        <f t="array" ref="I21">IF(ISBLANK(C21),"",IF(C21=MAX(IF([1. Identifiant interne d’exploitation agricole*]=A21,[3. Superficie de l’unité agricole (ha)*])),"!","-"))</f>
        <v>!</v>
      </c>
      <c r="J21" s="10" t="str">
        <f t="shared" si="2"/>
        <v/>
      </c>
    </row>
    <row r="22" spans="1:10">
      <c r="A22" s="39" t="s">
        <v>758</v>
      </c>
      <c r="B22" s="39" t="s">
        <v>758</v>
      </c>
      <c r="C22" s="8">
        <v>4.5602</v>
      </c>
      <c r="D22" s="196" t="s">
        <v>1894</v>
      </c>
      <c r="E22" s="196" t="s">
        <v>1895</v>
      </c>
      <c r="F22" s="144" t="b">
        <f>IF(ISBLANK(FarmUnit[[#This Row],[1. Identifiant interne d’exploitation agricole*]]),"",IF(ISERROR(MATCH(FarmUnit[[#This Row],[1. Identifiant interne d’exploitation agricole*]],GroupMember[1. Identifiant interne d’exploitation agricole*],0)),FALSE,TRUE))</f>
        <v>1</v>
      </c>
      <c r="G22" s="5" t="str">
        <f t="shared" si="0"/>
        <v>7.16644</v>
      </c>
      <c r="H22" s="5" t="str">
        <f t="shared" si="1"/>
        <v>-7.73961</v>
      </c>
      <c r="I22" s="22" t="str">
        <f t="array" ref="I22">IF(ISBLANK(C22),"",IF(C22=MAX(IF([1. Identifiant interne d’exploitation agricole*]=A22,[3. Superficie de l’unité agricole (ha)*])),"!","-"))</f>
        <v>!</v>
      </c>
      <c r="J22" s="10" t="str">
        <f t="shared" si="2"/>
        <v/>
      </c>
    </row>
    <row r="23" spans="1:10">
      <c r="A23" s="39" t="s">
        <v>763</v>
      </c>
      <c r="B23" s="7" t="s">
        <v>1853</v>
      </c>
      <c r="C23" s="8">
        <v>2.6503999999999999</v>
      </c>
      <c r="D23" s="196" t="s">
        <v>1896</v>
      </c>
      <c r="E23" s="196" t="s">
        <v>1897</v>
      </c>
      <c r="F23" s="144" t="b">
        <f>IF(ISBLANK(FarmUnit[[#This Row],[1. Identifiant interne d’exploitation agricole*]]),"",IF(ISERROR(MATCH(FarmUnit[[#This Row],[1. Identifiant interne d’exploitation agricole*]],GroupMember[1. Identifiant interne d’exploitation agricole*],0)),FALSE,TRUE))</f>
        <v>1</v>
      </c>
      <c r="G23" s="5" t="str">
        <f t="shared" si="0"/>
        <v>7.04807</v>
      </c>
      <c r="H23" s="5" t="str">
        <f t="shared" si="1"/>
        <v>-7.67465</v>
      </c>
      <c r="I23" s="22" t="str">
        <f t="array" ref="I23">IF(ISBLANK(C23),"",IF(C23=MAX(IF([1. Identifiant interne d’exploitation agricole*]=A23,[3. Superficie de l’unité agricole (ha)*])),"!","-"))</f>
        <v>!</v>
      </c>
      <c r="J23" s="10" t="str">
        <f t="shared" si="2"/>
        <v/>
      </c>
    </row>
    <row r="24" spans="1:10">
      <c r="A24" s="39" t="s">
        <v>767</v>
      </c>
      <c r="B24" s="7" t="s">
        <v>1854</v>
      </c>
      <c r="C24" s="8">
        <v>12.489699999999999</v>
      </c>
      <c r="D24" s="196" t="s">
        <v>1898</v>
      </c>
      <c r="E24" s="196" t="s">
        <v>1899</v>
      </c>
      <c r="F24" s="144" t="b">
        <f>IF(ISBLANK(FarmUnit[[#This Row],[1. Identifiant interne d’exploitation agricole*]]),"",IF(ISERROR(MATCH(FarmUnit[[#This Row],[1. Identifiant interne d’exploitation agricole*]],GroupMember[1. Identifiant interne d’exploitation agricole*],0)),FALSE,TRUE))</f>
        <v>1</v>
      </c>
      <c r="G24" s="5" t="str">
        <f t="shared" si="0"/>
        <v>7.0391</v>
      </c>
      <c r="H24" s="5" t="str">
        <f t="shared" si="1"/>
        <v>-7.7863</v>
      </c>
      <c r="I24" s="22" t="str">
        <f t="array" ref="I24">IF(ISBLANK(C24),"",IF(C24=MAX(IF([1. Identifiant interne d’exploitation agricole*]=A24,[3. Superficie de l’unité agricole (ha)*])),"!","-"))</f>
        <v>!</v>
      </c>
      <c r="J24" s="10" t="str">
        <f t="shared" si="2"/>
        <v/>
      </c>
    </row>
    <row r="25" spans="1:10">
      <c r="A25" s="39" t="s">
        <v>772</v>
      </c>
      <c r="B25" s="7" t="s">
        <v>772</v>
      </c>
      <c r="C25" s="8">
        <v>2.6198999999999999</v>
      </c>
      <c r="D25" s="196" t="s">
        <v>1900</v>
      </c>
      <c r="E25" s="196" t="s">
        <v>1901</v>
      </c>
      <c r="F25" s="144" t="b">
        <f>IF(ISBLANK(FarmUnit[[#This Row],[1. Identifiant interne d’exploitation agricole*]]),"",IF(ISERROR(MATCH(FarmUnit[[#This Row],[1. Identifiant interne d’exploitation agricole*]],GroupMember[1. Identifiant interne d’exploitation agricole*],0)),FALSE,TRUE))</f>
        <v>1</v>
      </c>
      <c r="G25" s="5" t="str">
        <f t="shared" si="0"/>
        <v>7.1454</v>
      </c>
      <c r="H25" s="5" t="str">
        <f t="shared" si="1"/>
        <v>-7.71704</v>
      </c>
      <c r="I25" s="22" t="str">
        <f t="array" ref="I25">IF(ISBLANK(C25),"",IF(C25=MAX(IF([1. Identifiant interne d’exploitation agricole*]=A25,[3. Superficie de l’unité agricole (ha)*])),"!","-"))</f>
        <v>!</v>
      </c>
      <c r="J25" s="10" t="str">
        <f t="shared" si="2"/>
        <v/>
      </c>
    </row>
    <row r="26" spans="1:10">
      <c r="A26" s="39" t="s">
        <v>777</v>
      </c>
      <c r="B26" s="7" t="s">
        <v>1855</v>
      </c>
      <c r="C26" s="8">
        <v>10.1645</v>
      </c>
      <c r="D26" s="196" t="s">
        <v>1902</v>
      </c>
      <c r="E26" s="196" t="s">
        <v>1903</v>
      </c>
      <c r="F26" s="144" t="b">
        <f>IF(ISBLANK(FarmUnit[[#This Row],[1. Identifiant interne d’exploitation agricole*]]),"",IF(ISERROR(MATCH(FarmUnit[[#This Row],[1. Identifiant interne d’exploitation agricole*]],GroupMember[1. Identifiant interne d’exploitation agricole*],0)),FALSE,TRUE))</f>
        <v>1</v>
      </c>
      <c r="G26" s="5" t="str">
        <f t="shared" si="0"/>
        <v>7.13995</v>
      </c>
      <c r="H26" s="5" t="str">
        <f t="shared" si="1"/>
        <v>-7.72674</v>
      </c>
      <c r="I26" s="22" t="str">
        <f t="array" ref="I26">IF(ISBLANK(C26),"",IF(C26=MAX(IF([1. Identifiant interne d’exploitation agricole*]=A26,[3. Superficie de l’unité agricole (ha)*])),"!","-"))</f>
        <v>!</v>
      </c>
      <c r="J26" s="10" t="str">
        <f t="shared" si="2"/>
        <v/>
      </c>
    </row>
    <row r="27" spans="1:10">
      <c r="A27" s="39" t="s">
        <v>782</v>
      </c>
      <c r="B27" s="7" t="s">
        <v>782</v>
      </c>
      <c r="C27" s="8">
        <v>4.1508000000000003</v>
      </c>
      <c r="D27" s="196" t="s">
        <v>1904</v>
      </c>
      <c r="E27" s="196" t="s">
        <v>1905</v>
      </c>
      <c r="F27" s="144" t="b">
        <f>IF(ISBLANK(FarmUnit[[#This Row],[1. Identifiant interne d’exploitation agricole*]]),"",IF(ISERROR(MATCH(FarmUnit[[#This Row],[1. Identifiant interne d’exploitation agricole*]],GroupMember[1. Identifiant interne d’exploitation agricole*],0)),FALSE,TRUE))</f>
        <v>1</v>
      </c>
      <c r="G27" s="5" t="str">
        <f t="shared" si="0"/>
        <v>7.10299</v>
      </c>
      <c r="H27" s="5" t="str">
        <f t="shared" si="1"/>
        <v>-7.71927</v>
      </c>
      <c r="I27" s="22" t="str">
        <f t="array" ref="I27">IF(ISBLANK(C27),"",IF(C27=MAX(IF([1. Identifiant interne d’exploitation agricole*]=A27,[3. Superficie de l’unité agricole (ha)*])),"!","-"))</f>
        <v>!</v>
      </c>
      <c r="J27" s="10" t="str">
        <f t="shared" si="2"/>
        <v/>
      </c>
    </row>
    <row r="28" spans="1:10" ht="15">
      <c r="A28" s="39" t="s">
        <v>787</v>
      </c>
      <c r="B28" s="7" t="s">
        <v>787</v>
      </c>
      <c r="C28" s="8">
        <v>6.4074999999999998</v>
      </c>
      <c r="D28" s="198" t="s">
        <v>1906</v>
      </c>
      <c r="E28" s="197" t="s">
        <v>1907</v>
      </c>
      <c r="F28" s="144" t="b">
        <f>IF(ISBLANK(FarmUnit[[#This Row],[1. Identifiant interne d’exploitation agricole*]]),"",IF(ISERROR(MATCH(FarmUnit[[#This Row],[1. Identifiant interne d’exploitation agricole*]],GroupMember[1. Identifiant interne d’exploitation agricole*],0)),FALSE,TRUE))</f>
        <v>1</v>
      </c>
      <c r="G28" s="5" t="str">
        <f t="shared" si="0"/>
        <v>7.03468</v>
      </c>
      <c r="H28" s="5" t="str">
        <f t="shared" si="1"/>
        <v>-7.67683</v>
      </c>
      <c r="I28" s="22" t="str">
        <f t="array" ref="I28">IF(ISBLANK(C28),"",IF(C28=MAX(IF([1. Identifiant interne d’exploitation agricole*]=A28,[3. Superficie de l’unité agricole (ha)*])),"!","-"))</f>
        <v>!</v>
      </c>
      <c r="J28" s="10" t="str">
        <f t="shared" si="2"/>
        <v/>
      </c>
    </row>
    <row r="29" spans="1:10">
      <c r="A29" s="39" t="s">
        <v>792</v>
      </c>
      <c r="B29" s="7" t="s">
        <v>792</v>
      </c>
      <c r="C29" s="8">
        <v>2.6616</v>
      </c>
      <c r="D29" s="196" t="s">
        <v>1908</v>
      </c>
      <c r="E29" s="196" t="s">
        <v>1909</v>
      </c>
      <c r="F29" s="144" t="b">
        <f>IF(ISBLANK(FarmUnit[[#This Row],[1. Identifiant interne d’exploitation agricole*]]),"",IF(ISERROR(MATCH(FarmUnit[[#This Row],[1. Identifiant interne d’exploitation agricole*]],GroupMember[1. Identifiant interne d’exploitation agricole*],0)),FALSE,TRUE))</f>
        <v>1</v>
      </c>
      <c r="G29" s="5" t="str">
        <f t="shared" si="0"/>
        <v>7.03148</v>
      </c>
      <c r="H29" s="5" t="str">
        <f t="shared" si="1"/>
        <v>-7.67829</v>
      </c>
      <c r="I29" s="22" t="str">
        <f t="array" ref="I29">IF(ISBLANK(C29),"",IF(C29=MAX(IF([1. Identifiant interne d’exploitation agricole*]=A29,[3. Superficie de l’unité agricole (ha)*])),"!","-"))</f>
        <v>!</v>
      </c>
      <c r="J29" s="10" t="str">
        <f t="shared" si="2"/>
        <v/>
      </c>
    </row>
    <row r="30" spans="1:10">
      <c r="A30" s="39" t="s">
        <v>796</v>
      </c>
      <c r="B30" s="7" t="s">
        <v>796</v>
      </c>
      <c r="C30" s="8">
        <v>4.8068</v>
      </c>
      <c r="D30" s="196" t="s">
        <v>1910</v>
      </c>
      <c r="E30" s="196" t="s">
        <v>1911</v>
      </c>
      <c r="F30" s="144" t="b">
        <f>IF(ISBLANK(FarmUnit[[#This Row],[1. Identifiant interne d’exploitation agricole*]]),"",IF(ISERROR(MATCH(FarmUnit[[#This Row],[1. Identifiant interne d’exploitation agricole*]],GroupMember[1. Identifiant interne d’exploitation agricole*],0)),FALSE,TRUE))</f>
        <v>1</v>
      </c>
      <c r="G30" s="5" t="str">
        <f t="shared" si="0"/>
        <v>7.03099</v>
      </c>
      <c r="H30" s="5" t="str">
        <f t="shared" si="1"/>
        <v>-7.67347</v>
      </c>
      <c r="I30" s="22" t="str">
        <f t="array" ref="I30">IF(ISBLANK(C30),"",IF(C30=MAX(IF([1. Identifiant interne d’exploitation agricole*]=A30,[3. Superficie de l’unité agricole (ha)*])),"!","-"))</f>
        <v>!</v>
      </c>
      <c r="J30" s="10" t="str">
        <f t="shared" si="2"/>
        <v/>
      </c>
    </row>
    <row r="31" spans="1:10">
      <c r="A31" s="39" t="s">
        <v>799</v>
      </c>
      <c r="B31" s="7" t="s">
        <v>799</v>
      </c>
      <c r="C31" s="8">
        <v>13.986000000000001</v>
      </c>
      <c r="D31" s="196" t="s">
        <v>1912</v>
      </c>
      <c r="E31" s="196" t="s">
        <v>1913</v>
      </c>
      <c r="F31" s="144" t="b">
        <f>IF(ISBLANK(FarmUnit[[#This Row],[1. Identifiant interne d’exploitation agricole*]]),"",IF(ISERROR(MATCH(FarmUnit[[#This Row],[1. Identifiant interne d’exploitation agricole*]],GroupMember[1. Identifiant interne d’exploitation agricole*],0)),FALSE,TRUE))</f>
        <v>1</v>
      </c>
      <c r="G31" s="5" t="str">
        <f t="shared" si="0"/>
        <v>7.03055</v>
      </c>
      <c r="H31" s="5" t="str">
        <f t="shared" si="1"/>
        <v>-7.66777</v>
      </c>
      <c r="I31" s="22" t="str">
        <f t="array" ref="I31">IF(ISBLANK(C31),"",IF(C31=MAX(IF([1. Identifiant interne d’exploitation agricole*]=A31,[3. Superficie de l’unité agricole (ha)*])),"!","-"))</f>
        <v>!</v>
      </c>
      <c r="J31" s="10" t="str">
        <f t="shared" si="2"/>
        <v/>
      </c>
    </row>
    <row r="32" spans="1:10">
      <c r="A32" s="39" t="s">
        <v>804</v>
      </c>
      <c r="B32" s="7" t="s">
        <v>804</v>
      </c>
      <c r="C32" s="8">
        <v>4.2405999999999997</v>
      </c>
      <c r="D32" s="196" t="s">
        <v>1914</v>
      </c>
      <c r="E32" s="196" t="s">
        <v>1915</v>
      </c>
      <c r="F32" s="144" t="b">
        <f>IF(ISBLANK(FarmUnit[[#This Row],[1. Identifiant interne d’exploitation agricole*]]),"",IF(ISERROR(MATCH(FarmUnit[[#This Row],[1. Identifiant interne d’exploitation agricole*]],GroupMember[1. Identifiant interne d’exploitation agricole*],0)),FALSE,TRUE))</f>
        <v>1</v>
      </c>
      <c r="G32" s="5" t="str">
        <f t="shared" si="0"/>
        <v>7.03066</v>
      </c>
      <c r="H32" s="5" t="str">
        <f t="shared" si="1"/>
        <v>-7.66181</v>
      </c>
      <c r="I32" s="22" t="str">
        <f t="array" ref="I32">IF(ISBLANK(C32),"",IF(C32=MAX(IF([1. Identifiant interne d’exploitation agricole*]=A32,[3. Superficie de l’unité agricole (ha)*])),"!","-"))</f>
        <v>!</v>
      </c>
      <c r="J32" s="10" t="str">
        <f t="shared" si="2"/>
        <v/>
      </c>
    </row>
    <row r="33" spans="1:10">
      <c r="A33" s="39" t="s">
        <v>808</v>
      </c>
      <c r="B33" s="7" t="s">
        <v>808</v>
      </c>
      <c r="C33" s="8">
        <v>1.4876</v>
      </c>
      <c r="D33" s="196" t="s">
        <v>1916</v>
      </c>
      <c r="E33" s="196" t="s">
        <v>1917</v>
      </c>
      <c r="F33" s="144" t="b">
        <f>IF(ISBLANK(FarmUnit[[#This Row],[1. Identifiant interne d’exploitation agricole*]]),"",IF(ISERROR(MATCH(FarmUnit[[#This Row],[1. Identifiant interne d’exploitation agricole*]],GroupMember[1. Identifiant interne d’exploitation agricole*],0)),FALSE,TRUE))</f>
        <v>1</v>
      </c>
      <c r="G33" s="5" t="str">
        <f t="shared" si="0"/>
        <v>7.03416</v>
      </c>
      <c r="H33" s="5" t="str">
        <f t="shared" si="1"/>
        <v>-7.65915</v>
      </c>
      <c r="I33" s="22" t="str">
        <f t="array" ref="I33">IF(ISBLANK(C33),"",IF(C33=MAX(IF([1. Identifiant interne d’exploitation agricole*]=A33,[3. Superficie de l’unité agricole (ha)*])),"!","-"))</f>
        <v>!</v>
      </c>
      <c r="J33" s="10" t="str">
        <f t="shared" si="2"/>
        <v/>
      </c>
    </row>
    <row r="34" spans="1:10">
      <c r="A34" s="39" t="s">
        <v>811</v>
      </c>
      <c r="B34" s="7" t="s">
        <v>811</v>
      </c>
      <c r="C34" s="8">
        <v>3.9495</v>
      </c>
      <c r="D34" s="196" t="s">
        <v>1918</v>
      </c>
      <c r="E34" s="196" t="s">
        <v>1919</v>
      </c>
      <c r="F34" s="144" t="b">
        <f>IF(ISBLANK(FarmUnit[[#This Row],[1. Identifiant interne d’exploitation agricole*]]),"",IF(ISERROR(MATCH(FarmUnit[[#This Row],[1. Identifiant interne d’exploitation agricole*]],GroupMember[1. Identifiant interne d’exploitation agricole*],0)),FALSE,TRUE))</f>
        <v>1</v>
      </c>
      <c r="G34" s="5" t="str">
        <f t="shared" si="0"/>
        <v>7.03686</v>
      </c>
      <c r="H34" s="5" t="str">
        <f t="shared" si="1"/>
        <v>-7.6585</v>
      </c>
      <c r="I34" s="22" t="str">
        <f t="array" ref="I34">IF(ISBLANK(C34),"",IF(C34=MAX(IF([1. Identifiant interne d’exploitation agricole*]=A34,[3. Superficie de l’unité agricole (ha)*])),"!","-"))</f>
        <v>!</v>
      </c>
      <c r="J34" s="10" t="str">
        <f t="shared" si="2"/>
        <v/>
      </c>
    </row>
    <row r="35" spans="1:10">
      <c r="A35" s="39" t="s">
        <v>816</v>
      </c>
      <c r="B35" s="7" t="s">
        <v>816</v>
      </c>
      <c r="C35" s="8">
        <v>3.8136999999999999</v>
      </c>
      <c r="D35" s="196" t="s">
        <v>1920</v>
      </c>
      <c r="E35" s="196" t="s">
        <v>1921</v>
      </c>
      <c r="F35" s="144" t="b">
        <f>IF(ISBLANK(FarmUnit[[#This Row],[1. Identifiant interne d’exploitation agricole*]]),"",IF(ISERROR(MATCH(FarmUnit[[#This Row],[1. Identifiant interne d’exploitation agricole*]],GroupMember[1. Identifiant interne d’exploitation agricole*],0)),FALSE,TRUE))</f>
        <v>1</v>
      </c>
      <c r="G35" s="5" t="str">
        <f t="shared" si="0"/>
        <v>7.04116</v>
      </c>
      <c r="H35" s="5" t="str">
        <f t="shared" si="1"/>
        <v>-7.65265</v>
      </c>
      <c r="I35" s="22" t="str">
        <f t="array" ref="I35">IF(ISBLANK(C35),"",IF(C35=MAX(IF([1. Identifiant interne d’exploitation agricole*]=A35,[3. Superficie de l’unité agricole (ha)*])),"!","-"))</f>
        <v>!</v>
      </c>
      <c r="J35" s="10" t="str">
        <f t="shared" si="2"/>
        <v/>
      </c>
    </row>
    <row r="36" spans="1:10">
      <c r="A36" s="39" t="s">
        <v>820</v>
      </c>
      <c r="B36" s="7" t="s">
        <v>820</v>
      </c>
      <c r="C36" s="8">
        <v>1.2654000000000001</v>
      </c>
      <c r="D36" s="196" t="s">
        <v>1922</v>
      </c>
      <c r="E36" s="196" t="s">
        <v>1923</v>
      </c>
      <c r="F36" s="144" t="b">
        <f>IF(ISBLANK(FarmUnit[[#This Row],[1. Identifiant interne d’exploitation agricole*]]),"",IF(ISERROR(MATCH(FarmUnit[[#This Row],[1. Identifiant interne d’exploitation agricole*]],GroupMember[1. Identifiant interne d’exploitation agricole*],0)),FALSE,TRUE))</f>
        <v>1</v>
      </c>
      <c r="G36" s="5" t="str">
        <f t="shared" si="0"/>
        <v>7.03956</v>
      </c>
      <c r="H36" s="5" t="str">
        <f t="shared" si="1"/>
        <v>-7.65071</v>
      </c>
      <c r="I36" s="22" t="str">
        <f t="array" ref="I36">IF(ISBLANK(C36),"",IF(C36=MAX(IF([1. Identifiant interne d’exploitation agricole*]=A36,[3. Superficie de l’unité agricole (ha)*])),"!","-"))</f>
        <v>!</v>
      </c>
      <c r="J36" s="10" t="str">
        <f t="shared" si="2"/>
        <v/>
      </c>
    </row>
    <row r="37" spans="1:10">
      <c r="A37" s="39" t="s">
        <v>825</v>
      </c>
      <c r="B37" s="7" t="s">
        <v>825</v>
      </c>
      <c r="C37" s="8">
        <v>1.9795</v>
      </c>
      <c r="D37" s="196" t="s">
        <v>1924</v>
      </c>
      <c r="E37" s="196" t="s">
        <v>1925</v>
      </c>
      <c r="F37" s="144" t="b">
        <f>IF(ISBLANK(FarmUnit[[#This Row],[1. Identifiant interne d’exploitation agricole*]]),"",IF(ISERROR(MATCH(FarmUnit[[#This Row],[1. Identifiant interne d’exploitation agricole*]],GroupMember[1. Identifiant interne d’exploitation agricole*],0)),FALSE,TRUE))</f>
        <v>1</v>
      </c>
      <c r="G37" s="5" t="str">
        <f t="shared" si="0"/>
        <v>7.04153</v>
      </c>
      <c r="H37" s="5" t="str">
        <f t="shared" si="1"/>
        <v>-7.65579</v>
      </c>
      <c r="I37" s="22" t="str">
        <f t="array" ref="I37">IF(ISBLANK(C37),"",IF(C37=MAX(IF([1. Identifiant interne d’exploitation agricole*]=A37,[3. Superficie de l’unité agricole (ha)*])),"!","-"))</f>
        <v>!</v>
      </c>
      <c r="J37" s="10" t="str">
        <f t="shared" si="2"/>
        <v/>
      </c>
    </row>
    <row r="38" spans="1:10">
      <c r="A38" s="39" t="s">
        <v>829</v>
      </c>
      <c r="B38" s="7" t="s">
        <v>829</v>
      </c>
      <c r="C38" s="8">
        <v>0.89939999999999998</v>
      </c>
      <c r="D38" s="196" t="s">
        <v>1926</v>
      </c>
      <c r="E38" s="196" t="s">
        <v>1927</v>
      </c>
      <c r="F38" s="144" t="b">
        <f>IF(ISBLANK(FarmUnit[[#This Row],[1. Identifiant interne d’exploitation agricole*]]),"",IF(ISERROR(MATCH(FarmUnit[[#This Row],[1. Identifiant interne d’exploitation agricole*]],GroupMember[1. Identifiant interne d’exploitation agricole*],0)),FALSE,TRUE))</f>
        <v>1</v>
      </c>
      <c r="G38" s="5" t="str">
        <f t="shared" si="0"/>
        <v>7.03864</v>
      </c>
      <c r="H38" s="5" t="str">
        <f t="shared" si="1"/>
        <v>-7.65621</v>
      </c>
      <c r="I38" s="22" t="str">
        <f t="array" ref="I38">IF(ISBLANK(C38),"",IF(C38=MAX(IF([1. Identifiant interne d’exploitation agricole*]=A38,[3. Superficie de l’unité agricole (ha)*])),"!","-"))</f>
        <v>!</v>
      </c>
      <c r="J38" s="10" t="str">
        <f t="shared" si="2"/>
        <v/>
      </c>
    </row>
    <row r="39" spans="1:10">
      <c r="A39" s="39" t="s">
        <v>834</v>
      </c>
      <c r="B39" s="7" t="s">
        <v>834</v>
      </c>
      <c r="C39" s="8">
        <v>2.9268999999999998</v>
      </c>
      <c r="D39" s="196" t="s">
        <v>1928</v>
      </c>
      <c r="E39" s="196" t="s">
        <v>1929</v>
      </c>
      <c r="F39" s="144" t="b">
        <f>IF(ISBLANK(FarmUnit[[#This Row],[1. Identifiant interne d’exploitation agricole*]]),"",IF(ISERROR(MATCH(FarmUnit[[#This Row],[1. Identifiant interne d’exploitation agricole*]],GroupMember[1. Identifiant interne d’exploitation agricole*],0)),FALSE,TRUE))</f>
        <v>1</v>
      </c>
      <c r="G39" s="5" t="str">
        <f t="shared" si="0"/>
        <v>7.01545</v>
      </c>
      <c r="H39" s="5" t="str">
        <f t="shared" si="1"/>
        <v>-7.67819</v>
      </c>
      <c r="I39" s="22" t="str">
        <f t="array" ref="I39">IF(ISBLANK(C39),"",IF(C39=MAX(IF([1. Identifiant interne d’exploitation agricole*]=A39,[3. Superficie de l’unité agricole (ha)*])),"!","-"))</f>
        <v>!</v>
      </c>
      <c r="J39" s="10" t="str">
        <f t="shared" si="2"/>
        <v/>
      </c>
    </row>
    <row r="40" spans="1:10">
      <c r="A40" s="40" t="s">
        <v>837</v>
      </c>
      <c r="B40" s="40" t="s">
        <v>837</v>
      </c>
      <c r="C40" s="41">
        <v>3.3454000000000002</v>
      </c>
      <c r="D40" s="199" t="s">
        <v>1930</v>
      </c>
      <c r="E40" s="199" t="s">
        <v>1931</v>
      </c>
      <c r="F40" s="145" t="b">
        <f>IF(ISBLANK(FarmUnit[[#This Row],[1. Identifiant interne d’exploitation agricole*]]),"",IF(ISERROR(MATCH(FarmUnit[[#This Row],[1. Identifiant interne d’exploitation agricole*]],GroupMember[1. Identifiant interne d’exploitation agricole*],0)),FALSE,TRUE))</f>
        <v>1</v>
      </c>
      <c r="G40" s="42" t="str">
        <f t="shared" si="0"/>
        <v>7.00916</v>
      </c>
      <c r="H40" s="42" t="str">
        <f t="shared" si="1"/>
        <v>-7.6843</v>
      </c>
      <c r="I40" s="22" t="str">
        <f t="array" ref="I40">IF(ISBLANK(C40),"",IF(C40=MAX(IF([1. Identifiant interne d’exploitation agricole*]=A40,[3. Superficie de l’unité agricole (ha)*])),"!","-"))</f>
        <v>!</v>
      </c>
      <c r="J40" s="43" t="str">
        <f t="shared" si="2"/>
        <v/>
      </c>
    </row>
    <row r="41" spans="1:10">
      <c r="A41" s="189" t="s">
        <v>841</v>
      </c>
      <c r="B41" s="190" t="s">
        <v>841</v>
      </c>
      <c r="C41" s="191">
        <v>0.80630000000000002</v>
      </c>
      <c r="D41" s="200" t="s">
        <v>1932</v>
      </c>
      <c r="E41" s="200" t="s">
        <v>1933</v>
      </c>
      <c r="F41" s="177" t="b">
        <f>IF(ISBLANK(FarmUnit[[#This Row],[1. Identifiant interne d’exploitation agricole*]]),"",IF(ISERROR(MATCH(FarmUnit[[#This Row],[1. Identifiant interne d’exploitation agricole*]],GroupMember[1. Identifiant interne d’exploitation agricole*],0)),FALSE,TRUE))</f>
        <v>1</v>
      </c>
      <c r="G41" s="192" t="str">
        <f t="shared" ref="G41:G84" si="3">IF(D41=0,"",D41)</f>
        <v>7.0712</v>
      </c>
      <c r="H41" s="192" t="str">
        <f t="shared" ref="H41:H84" si="4">IF(E41=0,"",E41)</f>
        <v>-7.69325</v>
      </c>
      <c r="I41" s="193" t="str">
        <f t="array" ref="I41">IF(ISBLANK(C41),"",IF(C41=MAX(IF([1. Identifiant interne d’exploitation agricole*]=A41,[3. Superficie de l’unité agricole (ha)*])),"!","-"))</f>
        <v>!</v>
      </c>
      <c r="J41" s="178" t="str">
        <f>IFERROR(CONCATENATE(VLOOKUP(A41,GM_Table,12,FALSE)," ",(VLOOKUP(A41,GM_Table,13,FALSE))),"")</f>
        <v/>
      </c>
    </row>
    <row r="42" spans="1:10" ht="15">
      <c r="A42" s="189" t="s">
        <v>844</v>
      </c>
      <c r="B42" s="190" t="s">
        <v>844</v>
      </c>
      <c r="C42" s="191">
        <v>4.1936</v>
      </c>
      <c r="D42" s="197" t="s">
        <v>1934</v>
      </c>
      <c r="E42" s="197" t="s">
        <v>1935</v>
      </c>
      <c r="F42" s="177" t="b">
        <f>IF(ISBLANK(FarmUnit[[#This Row],[1. Identifiant interne d’exploitation agricole*]]),"",IF(ISERROR(MATCH(FarmUnit[[#This Row],[1. Identifiant interne d’exploitation agricole*]],GroupMember[1. Identifiant interne d’exploitation agricole*],0)),FALSE,TRUE))</f>
        <v>1</v>
      </c>
      <c r="G42" s="192" t="str">
        <f t="shared" si="3"/>
        <v>7.09199</v>
      </c>
      <c r="H42" s="192" t="str">
        <f t="shared" si="4"/>
        <v>-7.692</v>
      </c>
      <c r="I42" s="193" t="str">
        <f t="array" ref="I42">IF(ISBLANK(C42),"",IF(C42=MAX(IF([1. Identifiant interne d’exploitation agricole*]=A42,[3. Superficie de l’unité agricole (ha)*])),"!","-"))</f>
        <v>!</v>
      </c>
      <c r="J42" s="178" t="str">
        <f>IFERROR(CONCATENATE(VLOOKUP(A42,GM_Table,12,FALSE)," ",(VLOOKUP(A42,GM_Table,13,FALSE))),"")</f>
        <v/>
      </c>
    </row>
    <row r="43" spans="1:10">
      <c r="A43" s="189" t="s">
        <v>849</v>
      </c>
      <c r="B43" s="189" t="s">
        <v>849</v>
      </c>
      <c r="C43" s="191">
        <v>4.8034999999999997</v>
      </c>
      <c r="D43" s="200" t="s">
        <v>1936</v>
      </c>
      <c r="E43" s="200" t="s">
        <v>1937</v>
      </c>
      <c r="F43" s="177" t="b">
        <f>IF(ISBLANK(FarmUnit[[#This Row],[1. Identifiant interne d’exploitation agricole*]]),"",IF(ISERROR(MATCH(FarmUnit[[#This Row],[1. Identifiant interne d’exploitation agricole*]],GroupMember[1. Identifiant interne d’exploitation agricole*],0)),FALSE,TRUE))</f>
        <v>1</v>
      </c>
      <c r="G43" s="192" t="str">
        <f t="shared" si="3"/>
        <v>7.05194</v>
      </c>
      <c r="H43" s="192" t="str">
        <f t="shared" si="4"/>
        <v>-7.75535</v>
      </c>
      <c r="I43" s="193" t="str">
        <f t="array" ref="I43">IF(ISBLANK(C43),"",IF(C43=MAX(IF([1. Identifiant interne d’exploitation agricole*]=A43,[3. Superficie de l’unité agricole (ha)*])),"!","-"))</f>
        <v>!</v>
      </c>
      <c r="J43" s="178" t="str">
        <f>IFERROR(CONCATENATE(VLOOKUP(A43,GM_Table,12,FALSE)," ",(VLOOKUP(A43,GM_Table,13,FALSE))),"")</f>
        <v/>
      </c>
    </row>
    <row r="44" spans="1:10">
      <c r="A44" s="189" t="s">
        <v>852</v>
      </c>
      <c r="B44" s="189" t="s">
        <v>852</v>
      </c>
      <c r="C44" s="191">
        <v>5.0833000000000004</v>
      </c>
      <c r="D44" s="200" t="s">
        <v>1938</v>
      </c>
      <c r="E44" s="200" t="s">
        <v>1939</v>
      </c>
      <c r="F44" s="177" t="b">
        <f>IF(ISBLANK(FarmUnit[[#This Row],[1. Identifiant interne d’exploitation agricole*]]),"",IF(ISERROR(MATCH(FarmUnit[[#This Row],[1. Identifiant interne d’exploitation agricole*]],GroupMember[1. Identifiant interne d’exploitation agricole*],0)),FALSE,TRUE))</f>
        <v>1</v>
      </c>
      <c r="G44" s="192" t="str">
        <f t="shared" si="3"/>
        <v>7.0374</v>
      </c>
      <c r="H44" s="192" t="str">
        <f t="shared" si="4"/>
        <v>-7.7709</v>
      </c>
      <c r="I44" s="193" t="str">
        <f t="array" ref="I44">IF(ISBLANK(C44),"",IF(C44=MAX(IF([1. Identifiant interne d’exploitation agricole*]=A44,[3. Superficie de l’unité agricole (ha)*])),"!","-"))</f>
        <v>!</v>
      </c>
      <c r="J44" s="178" t="str">
        <f>IFERROR(CONCATENATE(VLOOKUP(A44,GM_Table,12,FALSE)," ",(VLOOKUP(A44,GM_Table,13,FALSE))),"")</f>
        <v/>
      </c>
    </row>
    <row r="45" spans="1:10">
      <c r="A45" s="189" t="s">
        <v>856</v>
      </c>
      <c r="B45" s="190" t="s">
        <v>856</v>
      </c>
      <c r="C45" s="191">
        <v>5.7786</v>
      </c>
      <c r="D45" s="200" t="s">
        <v>1940</v>
      </c>
      <c r="E45" s="200" t="s">
        <v>1941</v>
      </c>
      <c r="F45" s="177" t="b">
        <f>IF(ISBLANK(FarmUnit[[#This Row],[1. Identifiant interne d’exploitation agricole*]]),"",IF(ISERROR(MATCH(FarmUnit[[#This Row],[1. Identifiant interne d’exploitation agricole*]],GroupMember[1. Identifiant interne d’exploitation agricole*],0)),FALSE,TRUE))</f>
        <v>1</v>
      </c>
      <c r="G45" s="192" t="str">
        <f t="shared" si="3"/>
        <v>7.041</v>
      </c>
      <c r="H45" s="192" t="str">
        <f t="shared" si="4"/>
        <v>-7.7932</v>
      </c>
      <c r="I45" s="193" t="str">
        <f t="array" ref="I45">IF(ISBLANK(C45),"",IF(C45=MAX(IF([1. Identifiant interne d’exploitation agricole*]=A45,[3. Superficie de l’unité agricole (ha)*])),"!","-"))</f>
        <v>!</v>
      </c>
      <c r="J45" s="178" t="str">
        <f>IFERROR(CONCATENATE(VLOOKUP(A45,GM_Table,12,FALSE)," ",(VLOOKUP(A45,GM_Table,13,FALSE))),"")</f>
        <v/>
      </c>
    </row>
    <row r="46" spans="1:10">
      <c r="A46" s="189" t="s">
        <v>859</v>
      </c>
      <c r="B46" s="190" t="s">
        <v>859</v>
      </c>
      <c r="C46" s="191">
        <v>2.0571999999999999</v>
      </c>
      <c r="D46" s="200" t="s">
        <v>1942</v>
      </c>
      <c r="E46" s="200" t="s">
        <v>1943</v>
      </c>
      <c r="F46" s="177" t="b">
        <f>IF(ISBLANK(FarmUnit[[#This Row],[1. Identifiant interne d’exploitation agricole*]]),"",IF(ISERROR(MATCH(FarmUnit[[#This Row],[1. Identifiant interne d’exploitation agricole*]],GroupMember[1. Identifiant interne d’exploitation agricole*],0)),FALSE,TRUE))</f>
        <v>1</v>
      </c>
      <c r="G46" s="192" t="str">
        <f t="shared" si="3"/>
        <v>7.0428</v>
      </c>
      <c r="H46" s="192" t="str">
        <f t="shared" si="4"/>
        <v>-7.8094</v>
      </c>
      <c r="I46" s="193" t="str">
        <f t="array" ref="I46">IF(ISBLANK(C46),"",IF(C46=MAX(IF([1. Identifiant interne d’exploitation agricole*]=A46,[3. Superficie de l’unité agricole (ha)*])),"!","-"))</f>
        <v>!</v>
      </c>
      <c r="J46" s="178" t="str">
        <f>IFERROR(CONCATENATE(VLOOKUP(A46,GM_Table,12,FALSE)," ",(VLOOKUP(A46,GM_Table,13,FALSE))),"")</f>
        <v/>
      </c>
    </row>
    <row r="47" spans="1:10">
      <c r="A47" s="189" t="s">
        <v>862</v>
      </c>
      <c r="B47" s="189" t="s">
        <v>862</v>
      </c>
      <c r="C47" s="191">
        <v>4.9996999999999998</v>
      </c>
      <c r="D47" s="200" t="s">
        <v>1944</v>
      </c>
      <c r="E47" s="200" t="s">
        <v>1945</v>
      </c>
      <c r="F47" s="177" t="b">
        <f>IF(ISBLANK(FarmUnit[[#This Row],[1. Identifiant interne d’exploitation agricole*]]),"",IF(ISERROR(MATCH(FarmUnit[[#This Row],[1. Identifiant interne d’exploitation agricole*]],GroupMember[1. Identifiant interne d’exploitation agricole*],0)),FALSE,TRUE))</f>
        <v>1</v>
      </c>
      <c r="G47" s="192" t="str">
        <f t="shared" si="3"/>
        <v>7.0445</v>
      </c>
      <c r="H47" s="192" t="str">
        <f t="shared" si="4"/>
        <v>-7.8036</v>
      </c>
      <c r="I47" s="193" t="str">
        <f t="array" ref="I47">IF(ISBLANK(C47),"",IF(C47=MAX(IF([1. Identifiant interne d’exploitation agricole*]=A47,[3. Superficie de l’unité agricole (ha)*])),"!","-"))</f>
        <v>!</v>
      </c>
      <c r="J47" s="178" t="str">
        <f>IFERROR(CONCATENATE(VLOOKUP(A47,GM_Table,12,FALSE)," ",(VLOOKUP(A47,GM_Table,13,FALSE))),"")</f>
        <v/>
      </c>
    </row>
    <row r="48" spans="1:10">
      <c r="A48" s="189" t="s">
        <v>866</v>
      </c>
      <c r="B48" s="190" t="s">
        <v>866</v>
      </c>
      <c r="C48" s="191">
        <v>0.71479999999999999</v>
      </c>
      <c r="D48" s="200" t="s">
        <v>1946</v>
      </c>
      <c r="E48" s="200" t="s">
        <v>1947</v>
      </c>
      <c r="F48" s="177" t="b">
        <f>IF(ISBLANK(FarmUnit[[#This Row],[1. Identifiant interne d’exploitation agricole*]]),"",IF(ISERROR(MATCH(FarmUnit[[#This Row],[1. Identifiant interne d’exploitation agricole*]],GroupMember[1. Identifiant interne d’exploitation agricole*],0)),FALSE,TRUE))</f>
        <v>1</v>
      </c>
      <c r="G48" s="192" t="str">
        <f t="shared" si="3"/>
        <v>7.0345</v>
      </c>
      <c r="H48" s="192" t="str">
        <f t="shared" si="4"/>
        <v>-7.7656</v>
      </c>
      <c r="I48" s="193" t="str">
        <f t="array" ref="I48">IF(ISBLANK(C48),"",IF(C48=MAX(IF([1. Identifiant interne d’exploitation agricole*]=A48,[3. Superficie de l’unité agricole (ha)*])),"!","-"))</f>
        <v>!</v>
      </c>
      <c r="J48" s="178" t="str">
        <f>IFERROR(CONCATENATE(VLOOKUP(A48,GM_Table,12,FALSE)," ",(VLOOKUP(A48,GM_Table,13,FALSE))),"")</f>
        <v/>
      </c>
    </row>
    <row r="49" spans="1:10">
      <c r="A49" s="189" t="s">
        <v>869</v>
      </c>
      <c r="B49" s="190" t="s">
        <v>869</v>
      </c>
      <c r="C49" s="191">
        <v>2.8917999999999999</v>
      </c>
      <c r="D49" s="200" t="s">
        <v>1948</v>
      </c>
      <c r="E49" s="200" t="s">
        <v>1949</v>
      </c>
      <c r="F49" s="177" t="b">
        <f>IF(ISBLANK(FarmUnit[[#This Row],[1. Identifiant interne d’exploitation agricole*]]),"",IF(ISERROR(MATCH(FarmUnit[[#This Row],[1. Identifiant interne d’exploitation agricole*]],GroupMember[1. Identifiant interne d’exploitation agricole*],0)),FALSE,TRUE))</f>
        <v>1</v>
      </c>
      <c r="G49" s="192" t="str">
        <f t="shared" si="3"/>
        <v>6.98978</v>
      </c>
      <c r="H49" s="192" t="str">
        <f t="shared" si="4"/>
        <v>-7.97238</v>
      </c>
      <c r="I49" s="193" t="str">
        <f t="array" ref="I49">IF(ISBLANK(C49),"",IF(C49=MAX(IF([1. Identifiant interne d’exploitation agricole*]=A49,[3. Superficie de l’unité agricole (ha)*])),"!","-"))</f>
        <v>!</v>
      </c>
      <c r="J49" s="178" t="str">
        <f>IFERROR(CONCATENATE(VLOOKUP(A49,GM_Table,12,FALSE)," ",(VLOOKUP(A49,GM_Table,13,FALSE))),"")</f>
        <v/>
      </c>
    </row>
    <row r="50" spans="1:10">
      <c r="A50" s="189" t="s">
        <v>872</v>
      </c>
      <c r="B50" s="190" t="s">
        <v>872</v>
      </c>
      <c r="C50" s="191">
        <v>2.3153000000000001</v>
      </c>
      <c r="D50" s="200" t="s">
        <v>1950</v>
      </c>
      <c r="E50" s="200" t="s">
        <v>1951</v>
      </c>
      <c r="F50" s="177" t="b">
        <f>IF(ISBLANK(FarmUnit[[#This Row],[1. Identifiant interne d’exploitation agricole*]]),"",IF(ISERROR(MATCH(FarmUnit[[#This Row],[1. Identifiant interne d’exploitation agricole*]],GroupMember[1. Identifiant interne d’exploitation agricole*],0)),FALSE,TRUE))</f>
        <v>1</v>
      </c>
      <c r="G50" s="192" t="str">
        <f t="shared" si="3"/>
        <v>6.98126</v>
      </c>
      <c r="H50" s="192" t="str">
        <f t="shared" si="4"/>
        <v>-7.97968</v>
      </c>
      <c r="I50" s="193" t="str">
        <f t="array" ref="I50">IF(ISBLANK(C50),"",IF(C50=MAX(IF([1. Identifiant interne d’exploitation agricole*]=A50,[3. Superficie de l’unité agricole (ha)*])),"!","-"))</f>
        <v>!</v>
      </c>
      <c r="J50" s="178" t="str">
        <f>IFERROR(CONCATENATE(VLOOKUP(A50,GM_Table,12,FALSE)," ",(VLOOKUP(A50,GM_Table,13,FALSE))),"")</f>
        <v/>
      </c>
    </row>
    <row r="51" spans="1:10">
      <c r="A51" s="189" t="s">
        <v>877</v>
      </c>
      <c r="B51" s="190" t="s">
        <v>877</v>
      </c>
      <c r="C51" s="191">
        <v>2.0451000000000001</v>
      </c>
      <c r="D51" s="200" t="s">
        <v>1952</v>
      </c>
      <c r="E51" s="200" t="s">
        <v>1953</v>
      </c>
      <c r="F51" s="177" t="b">
        <f>IF(ISBLANK(FarmUnit[[#This Row],[1. Identifiant interne d’exploitation agricole*]]),"",IF(ISERROR(MATCH(FarmUnit[[#This Row],[1. Identifiant interne d’exploitation agricole*]],GroupMember[1. Identifiant interne d’exploitation agricole*],0)),FALSE,TRUE))</f>
        <v>1</v>
      </c>
      <c r="G51" s="192" t="str">
        <f t="shared" si="3"/>
        <v>6.96908</v>
      </c>
      <c r="H51" s="192" t="str">
        <f t="shared" si="4"/>
        <v>-7.97831</v>
      </c>
      <c r="I51" s="193" t="str">
        <f t="array" ref="I51">IF(ISBLANK(C51),"",IF(C51=MAX(IF([1. Identifiant interne d’exploitation agricole*]=A51,[3. Superficie de l’unité agricole (ha)*])),"!","-"))</f>
        <v>!</v>
      </c>
      <c r="J51" s="178" t="str">
        <f>IFERROR(CONCATENATE(VLOOKUP(A51,GM_Table,12,FALSE)," ",(VLOOKUP(A51,GM_Table,13,FALSE))),"")</f>
        <v/>
      </c>
    </row>
    <row r="52" spans="1:10">
      <c r="A52" s="189" t="s">
        <v>881</v>
      </c>
      <c r="B52" s="190" t="s">
        <v>881</v>
      </c>
      <c r="C52" s="191">
        <v>5.0892999999999997</v>
      </c>
      <c r="D52" s="200" t="s">
        <v>1954</v>
      </c>
      <c r="E52" s="200" t="s">
        <v>1955</v>
      </c>
      <c r="F52" s="177" t="b">
        <f>IF(ISBLANK(FarmUnit[[#This Row],[1. Identifiant interne d’exploitation agricole*]]),"",IF(ISERROR(MATCH(FarmUnit[[#This Row],[1. Identifiant interne d’exploitation agricole*]],GroupMember[1. Identifiant interne d’exploitation agricole*],0)),FALSE,TRUE))</f>
        <v>1</v>
      </c>
      <c r="G52" s="192" t="str">
        <f t="shared" si="3"/>
        <v>7.02087</v>
      </c>
      <c r="H52" s="192" t="str">
        <f t="shared" si="4"/>
        <v>-7.95067</v>
      </c>
      <c r="I52" s="193" t="str">
        <f t="array" ref="I52">IF(ISBLANK(C52),"",IF(C52=MAX(IF([1. Identifiant interne d’exploitation agricole*]=A52,[3. Superficie de l’unité agricole (ha)*])),"!","-"))</f>
        <v>!</v>
      </c>
      <c r="J52" s="178" t="str">
        <f>IFERROR(CONCATENATE(VLOOKUP(A52,GM_Table,12,FALSE)," ",(VLOOKUP(A52,GM_Table,13,FALSE))),"")</f>
        <v/>
      </c>
    </row>
    <row r="53" spans="1:10">
      <c r="A53" s="189" t="s">
        <v>885</v>
      </c>
      <c r="B53" s="190" t="s">
        <v>885</v>
      </c>
      <c r="C53" s="191">
        <v>2.6522000000000001</v>
      </c>
      <c r="D53" s="200" t="s">
        <v>1956</v>
      </c>
      <c r="E53" s="200" t="s">
        <v>1957</v>
      </c>
      <c r="F53" s="177" t="b">
        <f>IF(ISBLANK(FarmUnit[[#This Row],[1. Identifiant interne d’exploitation agricole*]]),"",IF(ISERROR(MATCH(FarmUnit[[#This Row],[1. Identifiant interne d’exploitation agricole*]],GroupMember[1. Identifiant interne d’exploitation agricole*],0)),FALSE,TRUE))</f>
        <v>1</v>
      </c>
      <c r="G53" s="192" t="str">
        <f t="shared" si="3"/>
        <v>7.0444</v>
      </c>
      <c r="H53" s="192" t="str">
        <f t="shared" si="4"/>
        <v>-7.7711</v>
      </c>
      <c r="I53" s="193" t="str">
        <f t="array" ref="I53">IF(ISBLANK(C53),"",IF(C53=MAX(IF([1. Identifiant interne d’exploitation agricole*]=A53,[3. Superficie de l’unité agricole (ha)*])),"!","-"))</f>
        <v>!</v>
      </c>
      <c r="J53" s="178" t="str">
        <f>IFERROR(CONCATENATE(VLOOKUP(A53,GM_Table,12,FALSE)," ",(VLOOKUP(A53,GM_Table,13,FALSE))),"")</f>
        <v/>
      </c>
    </row>
    <row r="54" spans="1:10">
      <c r="A54" s="189" t="s">
        <v>889</v>
      </c>
      <c r="B54" s="189" t="s">
        <v>889</v>
      </c>
      <c r="C54" s="191">
        <v>3.8014999999999999</v>
      </c>
      <c r="D54" s="200" t="s">
        <v>1958</v>
      </c>
      <c r="E54" s="200" t="s">
        <v>1959</v>
      </c>
      <c r="F54" s="177" t="b">
        <f>IF(ISBLANK(FarmUnit[[#This Row],[1. Identifiant interne d’exploitation agricole*]]),"",IF(ISERROR(MATCH(FarmUnit[[#This Row],[1. Identifiant interne d’exploitation agricole*]],GroupMember[1. Identifiant interne d’exploitation agricole*],0)),FALSE,TRUE))</f>
        <v>1</v>
      </c>
      <c r="G54" s="192" t="str">
        <f t="shared" si="3"/>
        <v>7.02628</v>
      </c>
      <c r="H54" s="192" t="str">
        <f t="shared" si="4"/>
        <v>-7.78069</v>
      </c>
      <c r="I54" s="193" t="str">
        <f t="array" ref="I54">IF(ISBLANK(C54),"",IF(C54=MAX(IF([1. Identifiant interne d’exploitation agricole*]=A54,[3. Superficie de l’unité agricole (ha)*])),"!","-"))</f>
        <v>!</v>
      </c>
      <c r="J54" s="178" t="str">
        <f>IFERROR(CONCATENATE(VLOOKUP(A54,GM_Table,12,FALSE)," ",(VLOOKUP(A54,GM_Table,13,FALSE))),"")</f>
        <v/>
      </c>
    </row>
    <row r="55" spans="1:10">
      <c r="A55" s="189" t="s">
        <v>893</v>
      </c>
      <c r="B55" s="189" t="s">
        <v>893</v>
      </c>
      <c r="C55" s="191">
        <v>1.6072</v>
      </c>
      <c r="D55" s="200" t="s">
        <v>1960</v>
      </c>
      <c r="E55" s="200" t="s">
        <v>1961</v>
      </c>
      <c r="F55" s="177" t="b">
        <f>IF(ISBLANK(FarmUnit[[#This Row],[1. Identifiant interne d’exploitation agricole*]]),"",IF(ISERROR(MATCH(FarmUnit[[#This Row],[1. Identifiant interne d’exploitation agricole*]],GroupMember[1. Identifiant interne d’exploitation agricole*],0)),FALSE,TRUE))</f>
        <v>1</v>
      </c>
      <c r="G55" s="192" t="str">
        <f t="shared" si="3"/>
        <v>7.0503</v>
      </c>
      <c r="H55" s="192" t="str">
        <f t="shared" si="4"/>
        <v>-7.7736</v>
      </c>
      <c r="I55" s="193" t="str">
        <f t="array" ref="I55">IF(ISBLANK(C55),"",IF(C55=MAX(IF([1. Identifiant interne d’exploitation agricole*]=A55,[3. Superficie de l’unité agricole (ha)*])),"!","-"))</f>
        <v>!</v>
      </c>
      <c r="J55" s="178" t="str">
        <f>IFERROR(CONCATENATE(VLOOKUP(A55,GM_Table,12,FALSE)," ",(VLOOKUP(A55,GM_Table,13,FALSE))),"")</f>
        <v/>
      </c>
    </row>
    <row r="56" spans="1:10">
      <c r="A56" s="189" t="s">
        <v>897</v>
      </c>
      <c r="B56" s="190" t="s">
        <v>897</v>
      </c>
      <c r="C56" s="191">
        <v>5.9503000000000004</v>
      </c>
      <c r="D56" s="200" t="s">
        <v>1962</v>
      </c>
      <c r="E56" s="200" t="s">
        <v>1963</v>
      </c>
      <c r="F56" s="177" t="b">
        <f>IF(ISBLANK(FarmUnit[[#This Row],[1. Identifiant interne d’exploitation agricole*]]),"",IF(ISERROR(MATCH(FarmUnit[[#This Row],[1. Identifiant interne d’exploitation agricole*]],GroupMember[1. Identifiant interne d’exploitation agricole*],0)),FALSE,TRUE))</f>
        <v>1</v>
      </c>
      <c r="G56" s="192" t="str">
        <f t="shared" si="3"/>
        <v>7.0321</v>
      </c>
      <c r="H56" s="192" t="str">
        <f t="shared" si="4"/>
        <v>-7.7648</v>
      </c>
      <c r="I56" s="193" t="str">
        <f t="array" ref="I56">IF(ISBLANK(C56),"",IF(C56=MAX(IF([1. Identifiant interne d’exploitation agricole*]=A56,[3. Superficie de l’unité agricole (ha)*])),"!","-"))</f>
        <v>!</v>
      </c>
      <c r="J56" s="178" t="str">
        <f>IFERROR(CONCATENATE(VLOOKUP(A56,GM_Table,12,FALSE)," ",(VLOOKUP(A56,GM_Table,13,FALSE))),"")</f>
        <v/>
      </c>
    </row>
    <row r="57" spans="1:10">
      <c r="A57" s="189" t="s">
        <v>902</v>
      </c>
      <c r="B57" s="190" t="s">
        <v>902</v>
      </c>
      <c r="C57" s="191">
        <v>2.4291</v>
      </c>
      <c r="D57" s="200" t="s">
        <v>1964</v>
      </c>
      <c r="E57" s="200" t="s">
        <v>1965</v>
      </c>
      <c r="F57" s="177" t="b">
        <f>IF(ISBLANK(FarmUnit[[#This Row],[1. Identifiant interne d’exploitation agricole*]]),"",IF(ISERROR(MATCH(FarmUnit[[#This Row],[1. Identifiant interne d’exploitation agricole*]],GroupMember[1. Identifiant interne d’exploitation agricole*],0)),FALSE,TRUE))</f>
        <v>1</v>
      </c>
      <c r="G57" s="192" t="str">
        <f t="shared" si="3"/>
        <v>7.0582</v>
      </c>
      <c r="H57" s="192" t="str">
        <f t="shared" si="4"/>
        <v>-7.7572</v>
      </c>
      <c r="I57" s="193" t="str">
        <f t="array" ref="I57">IF(ISBLANK(C57),"",IF(C57=MAX(IF([1. Identifiant interne d’exploitation agricole*]=A57,[3. Superficie de l’unité agricole (ha)*])),"!","-"))</f>
        <v>!</v>
      </c>
      <c r="J57" s="178" t="str">
        <f>IFERROR(CONCATENATE(VLOOKUP(A57,GM_Table,12,FALSE)," ",(VLOOKUP(A57,GM_Table,13,FALSE))),"")</f>
        <v/>
      </c>
    </row>
    <row r="58" spans="1:10">
      <c r="A58" s="189" t="s">
        <v>907</v>
      </c>
      <c r="B58" s="190" t="s">
        <v>907</v>
      </c>
      <c r="C58" s="191">
        <v>2.5219999999999998</v>
      </c>
      <c r="D58" s="200" t="s">
        <v>1966</v>
      </c>
      <c r="E58" s="200" t="s">
        <v>1967</v>
      </c>
      <c r="F58" s="177" t="b">
        <f>IF(ISBLANK(FarmUnit[[#This Row],[1. Identifiant interne d’exploitation agricole*]]),"",IF(ISERROR(MATCH(FarmUnit[[#This Row],[1. Identifiant interne d’exploitation agricole*]],GroupMember[1. Identifiant interne d’exploitation agricole*],0)),FALSE,TRUE))</f>
        <v>1</v>
      </c>
      <c r="G58" s="192" t="str">
        <f t="shared" si="3"/>
        <v>7.025</v>
      </c>
      <c r="H58" s="192" t="str">
        <f t="shared" si="4"/>
        <v>-7.7772</v>
      </c>
      <c r="I58" s="193" t="str">
        <f t="array" ref="I58">IF(ISBLANK(C58),"",IF(C58=MAX(IF([1. Identifiant interne d’exploitation agricole*]=A58,[3. Superficie de l’unité agricole (ha)*])),"!","-"))</f>
        <v>!</v>
      </c>
      <c r="J58" s="178" t="str">
        <f>IFERROR(CONCATENATE(VLOOKUP(A58,GM_Table,12,FALSE)," ",(VLOOKUP(A58,GM_Table,13,FALSE))),"")</f>
        <v/>
      </c>
    </row>
    <row r="59" spans="1:10">
      <c r="A59" s="189" t="s">
        <v>911</v>
      </c>
      <c r="B59" s="190" t="s">
        <v>911</v>
      </c>
      <c r="C59" s="191">
        <v>1.8323</v>
      </c>
      <c r="D59" s="200" t="s">
        <v>1968</v>
      </c>
      <c r="E59" s="200" t="s">
        <v>1969</v>
      </c>
      <c r="F59" s="177" t="b">
        <f>IF(ISBLANK(FarmUnit[[#This Row],[1. Identifiant interne d’exploitation agricole*]]),"",IF(ISERROR(MATCH(FarmUnit[[#This Row],[1. Identifiant interne d’exploitation agricole*]],GroupMember[1. Identifiant interne d’exploitation agricole*],0)),FALSE,TRUE))</f>
        <v>1</v>
      </c>
      <c r="G59" s="192" t="str">
        <f t="shared" si="3"/>
        <v>7.10022</v>
      </c>
      <c r="H59" s="192" t="str">
        <f t="shared" si="4"/>
        <v>-7.73639</v>
      </c>
      <c r="I59" s="193" t="str">
        <f t="array" ref="I59">IF(ISBLANK(C59),"",IF(C59=MAX(IF([1. Identifiant interne d’exploitation agricole*]=A59,[3. Superficie de l’unité agricole (ha)*])),"!","-"))</f>
        <v>!</v>
      </c>
      <c r="J59" s="178" t="str">
        <f>IFERROR(CONCATENATE(VLOOKUP(A59,GM_Table,12,FALSE)," ",(VLOOKUP(A59,GM_Table,13,FALSE))),"")</f>
        <v/>
      </c>
    </row>
    <row r="60" spans="1:10">
      <c r="A60" s="189" t="s">
        <v>915</v>
      </c>
      <c r="B60" s="189" t="s">
        <v>915</v>
      </c>
      <c r="C60" s="191">
        <v>3.4163000000000001</v>
      </c>
      <c r="D60" s="200" t="s">
        <v>1970</v>
      </c>
      <c r="E60" s="200" t="s">
        <v>1971</v>
      </c>
      <c r="F60" s="177" t="b">
        <f>IF(ISBLANK(FarmUnit[[#This Row],[1. Identifiant interne d’exploitation agricole*]]),"",IF(ISERROR(MATCH(FarmUnit[[#This Row],[1. Identifiant interne d’exploitation agricole*]],GroupMember[1. Identifiant interne d’exploitation agricole*],0)),FALSE,TRUE))</f>
        <v>1</v>
      </c>
      <c r="G60" s="192" t="str">
        <f t="shared" si="3"/>
        <v>7.10161</v>
      </c>
      <c r="H60" s="192" t="str">
        <f t="shared" si="4"/>
        <v>-7.73864</v>
      </c>
      <c r="I60" s="193" t="str">
        <f t="array" ref="I60">IF(ISBLANK(C60),"",IF(C60=MAX(IF([1. Identifiant interne d’exploitation agricole*]=A60,[3. Superficie de l’unité agricole (ha)*])),"!","-"))</f>
        <v>!</v>
      </c>
      <c r="J60" s="178" t="str">
        <f>IFERROR(CONCATENATE(VLOOKUP(A60,GM_Table,12,FALSE)," ",(VLOOKUP(A60,GM_Table,13,FALSE))),"")</f>
        <v/>
      </c>
    </row>
    <row r="61" spans="1:10">
      <c r="A61" s="189" t="s">
        <v>920</v>
      </c>
      <c r="B61" s="190" t="s">
        <v>920</v>
      </c>
      <c r="C61" s="191">
        <v>1.0627</v>
      </c>
      <c r="D61" s="200" t="s">
        <v>1972</v>
      </c>
      <c r="E61" s="200" t="s">
        <v>1973</v>
      </c>
      <c r="F61" s="177" t="b">
        <f>IF(ISBLANK(FarmUnit[[#This Row],[1. Identifiant interne d’exploitation agricole*]]),"",IF(ISERROR(MATCH(FarmUnit[[#This Row],[1. Identifiant interne d’exploitation agricole*]],GroupMember[1. Identifiant interne d’exploitation agricole*],0)),FALSE,TRUE))</f>
        <v>1</v>
      </c>
      <c r="G61" s="192" t="str">
        <f t="shared" si="3"/>
        <v>7.10028</v>
      </c>
      <c r="H61" s="192" t="str">
        <f t="shared" si="4"/>
        <v>-7.74149</v>
      </c>
      <c r="I61" s="193" t="str">
        <f t="array" ref="I61">IF(ISBLANK(C61),"",IF(C61=MAX(IF([1. Identifiant interne d’exploitation agricole*]=A61,[3. Superficie de l’unité agricole (ha)*])),"!","-"))</f>
        <v>!</v>
      </c>
      <c r="J61" s="178" t="str">
        <f>IFERROR(CONCATENATE(VLOOKUP(A61,GM_Table,12,FALSE)," ",(VLOOKUP(A61,GM_Table,13,FALSE))),"")</f>
        <v/>
      </c>
    </row>
    <row r="62" spans="1:10">
      <c r="A62" s="189" t="s">
        <v>924</v>
      </c>
      <c r="B62" s="190" t="s">
        <v>924</v>
      </c>
      <c r="C62" s="191">
        <v>5.3579999999999997</v>
      </c>
      <c r="D62" s="200" t="s">
        <v>1974</v>
      </c>
      <c r="E62" s="200" t="s">
        <v>1975</v>
      </c>
      <c r="F62" s="177" t="b">
        <f>IF(ISBLANK(FarmUnit[[#This Row],[1. Identifiant interne d’exploitation agricole*]]),"",IF(ISERROR(MATCH(FarmUnit[[#This Row],[1. Identifiant interne d’exploitation agricole*]],GroupMember[1. Identifiant interne d’exploitation agricole*],0)),FALSE,TRUE))</f>
        <v>1</v>
      </c>
      <c r="G62" s="192" t="str">
        <f t="shared" si="3"/>
        <v>7.09817</v>
      </c>
      <c r="H62" s="192" t="str">
        <f t="shared" si="4"/>
        <v>-7.73894</v>
      </c>
      <c r="I62" s="193" t="str">
        <f t="array" ref="I62">IF(ISBLANK(C62),"",IF(C62=MAX(IF([1. Identifiant interne d’exploitation agricole*]=A62,[3. Superficie de l’unité agricole (ha)*])),"!","-"))</f>
        <v>!</v>
      </c>
      <c r="J62" s="178" t="str">
        <f>IFERROR(CONCATENATE(VLOOKUP(A62,GM_Table,12,FALSE)," ",(VLOOKUP(A62,GM_Table,13,FALSE))),"")</f>
        <v/>
      </c>
    </row>
    <row r="63" spans="1:10">
      <c r="A63" s="189" t="s">
        <v>928</v>
      </c>
      <c r="B63" s="190" t="s">
        <v>928</v>
      </c>
      <c r="C63" s="191">
        <v>7.5636000000000001</v>
      </c>
      <c r="D63" s="200" t="s">
        <v>1976</v>
      </c>
      <c r="E63" s="200" t="s">
        <v>1977</v>
      </c>
      <c r="F63" s="177" t="b">
        <f>IF(ISBLANK(FarmUnit[[#This Row],[1. Identifiant interne d’exploitation agricole*]]),"",IF(ISERROR(MATCH(FarmUnit[[#This Row],[1. Identifiant interne d’exploitation agricole*]],GroupMember[1. Identifiant interne d’exploitation agricole*],0)),FALSE,TRUE))</f>
        <v>1</v>
      </c>
      <c r="G63" s="192" t="str">
        <f t="shared" si="3"/>
        <v>7.0425</v>
      </c>
      <c r="H63" s="192" t="str">
        <f t="shared" si="4"/>
        <v>-7.7748</v>
      </c>
      <c r="I63" s="193" t="str">
        <f t="array" ref="I63">IF(ISBLANK(C63),"",IF(C63=MAX(IF([1. Identifiant interne d’exploitation agricole*]=A63,[3. Superficie de l’unité agricole (ha)*])),"!","-"))</f>
        <v>!</v>
      </c>
      <c r="J63" s="178" t="str">
        <f>IFERROR(CONCATENATE(VLOOKUP(A63,GM_Table,12,FALSE)," ",(VLOOKUP(A63,GM_Table,13,FALSE))),"")</f>
        <v/>
      </c>
    </row>
    <row r="64" spans="1:10">
      <c r="A64" s="189" t="s">
        <v>932</v>
      </c>
      <c r="B64" s="189" t="s">
        <v>932</v>
      </c>
      <c r="C64" s="191">
        <v>7.4547999999999996</v>
      </c>
      <c r="D64" s="200" t="s">
        <v>1978</v>
      </c>
      <c r="E64" s="200" t="s">
        <v>1979</v>
      </c>
      <c r="F64" s="177" t="b">
        <f>IF(ISBLANK(FarmUnit[[#This Row],[1. Identifiant interne d’exploitation agricole*]]),"",IF(ISERROR(MATCH(FarmUnit[[#This Row],[1. Identifiant interne d’exploitation agricole*]],GroupMember[1. Identifiant interne d’exploitation agricole*],0)),FALSE,TRUE))</f>
        <v>1</v>
      </c>
      <c r="G64" s="192" t="str">
        <f t="shared" si="3"/>
        <v>7.04</v>
      </c>
      <c r="H64" s="192" t="str">
        <f t="shared" si="4"/>
        <v>-7.7676</v>
      </c>
      <c r="I64" s="193" t="str">
        <f t="array" ref="I64">IF(ISBLANK(C64),"",IF(C64=MAX(IF([1. Identifiant interne d’exploitation agricole*]=A64,[3. Superficie de l’unité agricole (ha)*])),"!","-"))</f>
        <v>!</v>
      </c>
      <c r="J64" s="178" t="str">
        <f>IFERROR(CONCATENATE(VLOOKUP(A64,GM_Table,12,FALSE)," ",(VLOOKUP(A64,GM_Table,13,FALSE))),"")</f>
        <v/>
      </c>
    </row>
    <row r="65" spans="1:10">
      <c r="A65" s="189" t="s">
        <v>935</v>
      </c>
      <c r="B65" s="189" t="s">
        <v>935</v>
      </c>
      <c r="C65" s="191">
        <v>3.1745999999999999</v>
      </c>
      <c r="D65" s="200" t="s">
        <v>1980</v>
      </c>
      <c r="E65" s="200" t="s">
        <v>1981</v>
      </c>
      <c r="F65" s="177" t="b">
        <f>IF(ISBLANK(FarmUnit[[#This Row],[1. Identifiant interne d’exploitation agricole*]]),"",IF(ISERROR(MATCH(FarmUnit[[#This Row],[1. Identifiant interne d’exploitation agricole*]],GroupMember[1. Identifiant interne d’exploitation agricole*],0)),FALSE,TRUE))</f>
        <v>1</v>
      </c>
      <c r="G65" s="192" t="str">
        <f t="shared" si="3"/>
        <v>7.0135</v>
      </c>
      <c r="H65" s="192" t="str">
        <f t="shared" si="4"/>
        <v>-7.7872</v>
      </c>
      <c r="I65" s="193" t="str">
        <f t="array" ref="I65">IF(ISBLANK(C65),"",IF(C65=MAX(IF([1. Identifiant interne d’exploitation agricole*]=A65,[3. Superficie de l’unité agricole (ha)*])),"!","-"))</f>
        <v>!</v>
      </c>
      <c r="J65" s="178" t="str">
        <f>IFERROR(CONCATENATE(VLOOKUP(A65,GM_Table,12,FALSE)," ",(VLOOKUP(A65,GM_Table,13,FALSE))),"")</f>
        <v/>
      </c>
    </row>
    <row r="66" spans="1:10">
      <c r="A66" s="189" t="s">
        <v>939</v>
      </c>
      <c r="B66" s="190" t="s">
        <v>939</v>
      </c>
      <c r="C66" s="191">
        <v>11.025</v>
      </c>
      <c r="D66" s="200" t="s">
        <v>1982</v>
      </c>
      <c r="E66" s="200" t="s">
        <v>1983</v>
      </c>
      <c r="F66" s="177" t="b">
        <f>IF(ISBLANK(FarmUnit[[#This Row],[1. Identifiant interne d’exploitation agricole*]]),"",IF(ISERROR(MATCH(FarmUnit[[#This Row],[1. Identifiant interne d’exploitation agricole*]],GroupMember[1. Identifiant interne d’exploitation agricole*],0)),FALSE,TRUE))</f>
        <v>1</v>
      </c>
      <c r="G66" s="192" t="str">
        <f t="shared" si="3"/>
        <v>7.0367</v>
      </c>
      <c r="H66" s="192" t="str">
        <f t="shared" si="4"/>
        <v>-7.7768</v>
      </c>
      <c r="I66" s="193" t="str">
        <f t="array" ref="I66">IF(ISBLANK(C66),"",IF(C66=MAX(IF([1. Identifiant interne d’exploitation agricole*]=A66,[3. Superficie de l’unité agricole (ha)*])),"!","-"))</f>
        <v>!</v>
      </c>
      <c r="J66" s="178" t="str">
        <f>IFERROR(CONCATENATE(VLOOKUP(A66,GM_Table,12,FALSE)," ",(VLOOKUP(A66,GM_Table,13,FALSE))),"")</f>
        <v/>
      </c>
    </row>
    <row r="67" spans="1:10">
      <c r="A67" s="189" t="s">
        <v>943</v>
      </c>
      <c r="B67" s="190" t="s">
        <v>943</v>
      </c>
      <c r="C67" s="191">
        <v>0.79400000000000004</v>
      </c>
      <c r="D67" s="200" t="s">
        <v>1984</v>
      </c>
      <c r="E67" s="200" t="s">
        <v>1985</v>
      </c>
      <c r="F67" s="177" t="b">
        <f>IF(ISBLANK(FarmUnit[[#This Row],[1. Identifiant interne d’exploitation agricole*]]),"",IF(ISERROR(MATCH(FarmUnit[[#This Row],[1. Identifiant interne d’exploitation agricole*]],GroupMember[1. Identifiant interne d’exploitation agricole*],0)),FALSE,TRUE))</f>
        <v>1</v>
      </c>
      <c r="G67" s="192" t="str">
        <f t="shared" si="3"/>
        <v>7.0354</v>
      </c>
      <c r="H67" s="192" t="str">
        <f t="shared" si="4"/>
        <v>-7.7703</v>
      </c>
      <c r="I67" s="193" t="str">
        <f t="array" ref="I67">IF(ISBLANK(C67),"",IF(C67=MAX(IF([1. Identifiant interne d’exploitation agricole*]=A67,[3. Superficie de l’unité agricole (ha)*])),"!","-"))</f>
        <v>!</v>
      </c>
      <c r="J67" s="178" t="str">
        <f>IFERROR(CONCATENATE(VLOOKUP(A67,GM_Table,12,FALSE)," ",(VLOOKUP(A67,GM_Table,13,FALSE))),"")</f>
        <v/>
      </c>
    </row>
    <row r="68" spans="1:10">
      <c r="A68" s="189" t="s">
        <v>946</v>
      </c>
      <c r="B68" s="189" t="s">
        <v>946</v>
      </c>
      <c r="C68" s="191">
        <v>2.2833999999999999</v>
      </c>
      <c r="D68" s="200" t="s">
        <v>1986</v>
      </c>
      <c r="E68" s="200" t="s">
        <v>1987</v>
      </c>
      <c r="F68" s="177" t="b">
        <f>IF(ISBLANK(FarmUnit[[#This Row],[1. Identifiant interne d’exploitation agricole*]]),"",IF(ISERROR(MATCH(FarmUnit[[#This Row],[1. Identifiant interne d’exploitation agricole*]],GroupMember[1. Identifiant interne d’exploitation agricole*],0)),FALSE,TRUE))</f>
        <v>1</v>
      </c>
      <c r="G68" s="192" t="str">
        <f t="shared" si="3"/>
        <v>7.06765</v>
      </c>
      <c r="H68" s="192" t="str">
        <f t="shared" si="4"/>
        <v>-7.74246</v>
      </c>
      <c r="I68" s="193" t="str">
        <f t="array" ref="I68">IF(ISBLANK(C68),"",IF(C68=MAX(IF([1. Identifiant interne d’exploitation agricole*]=A68,[3. Superficie de l’unité agricole (ha)*])),"!","-"))</f>
        <v>!</v>
      </c>
      <c r="J68" s="178" t="str">
        <f>IFERROR(CONCATENATE(VLOOKUP(A68,GM_Table,12,FALSE)," ",(VLOOKUP(A68,GM_Table,13,FALSE))),"")</f>
        <v/>
      </c>
    </row>
    <row r="69" spans="1:10">
      <c r="A69" s="189" t="s">
        <v>950</v>
      </c>
      <c r="B69" s="189" t="s">
        <v>950</v>
      </c>
      <c r="C69" s="191">
        <v>3.2368000000000001</v>
      </c>
      <c r="D69" s="200" t="s">
        <v>1988</v>
      </c>
      <c r="E69" s="200" t="s">
        <v>1989</v>
      </c>
      <c r="F69" s="177" t="b">
        <f>IF(ISBLANK(FarmUnit[[#This Row],[1. Identifiant interne d’exploitation agricole*]]),"",IF(ISERROR(MATCH(FarmUnit[[#This Row],[1. Identifiant interne d’exploitation agricole*]],GroupMember[1. Identifiant interne d’exploitation agricole*],0)),FALSE,TRUE))</f>
        <v>1</v>
      </c>
      <c r="G69" s="192" t="str">
        <f t="shared" si="3"/>
        <v>6.9711</v>
      </c>
      <c r="H69" s="192" t="str">
        <f t="shared" si="4"/>
        <v>-7.7685</v>
      </c>
      <c r="I69" s="193" t="str">
        <f t="array" ref="I69">IF(ISBLANK(C69),"",IF(C69=MAX(IF([1. Identifiant interne d’exploitation agricole*]=A69,[3. Superficie de l’unité agricole (ha)*])),"!","-"))</f>
        <v>!</v>
      </c>
      <c r="J69" s="178" t="str">
        <f>IFERROR(CONCATENATE(VLOOKUP(A69,GM_Table,12,FALSE)," ",(VLOOKUP(A69,GM_Table,13,FALSE))),"")</f>
        <v/>
      </c>
    </row>
    <row r="70" spans="1:10">
      <c r="A70" s="189" t="s">
        <v>952</v>
      </c>
      <c r="B70" s="190" t="s">
        <v>952</v>
      </c>
      <c r="C70" s="191">
        <v>2.04</v>
      </c>
      <c r="D70" s="200" t="s">
        <v>1990</v>
      </c>
      <c r="E70" s="200" t="s">
        <v>1991</v>
      </c>
      <c r="F70" s="177" t="b">
        <f>IF(ISBLANK(FarmUnit[[#This Row],[1. Identifiant interne d’exploitation agricole*]]),"",IF(ISERROR(MATCH(FarmUnit[[#This Row],[1. Identifiant interne d’exploitation agricole*]],GroupMember[1. Identifiant interne d’exploitation agricole*],0)),FALSE,TRUE))</f>
        <v>1</v>
      </c>
      <c r="G70" s="192" t="str">
        <f t="shared" si="3"/>
        <v>7.0504</v>
      </c>
      <c r="H70" s="192" t="str">
        <f t="shared" si="4"/>
        <v>-7.7727</v>
      </c>
      <c r="I70" s="193" t="str">
        <f t="array" ref="I70">IF(ISBLANK(C70),"",IF(C70=MAX(IF([1. Identifiant interne d’exploitation agricole*]=A70,[3. Superficie de l’unité agricole (ha)*])),"!","-"))</f>
        <v>!</v>
      </c>
      <c r="J70" s="178" t="str">
        <f>IFERROR(CONCATENATE(VLOOKUP(A70,GM_Table,12,FALSE)," ",(VLOOKUP(A70,GM_Table,13,FALSE))),"")</f>
        <v/>
      </c>
    </row>
    <row r="71" spans="1:10">
      <c r="A71" s="189" t="s">
        <v>957</v>
      </c>
      <c r="B71" s="189" t="s">
        <v>957</v>
      </c>
      <c r="C71" s="191">
        <v>2.0015000000000001</v>
      </c>
      <c r="D71" s="200" t="s">
        <v>1992</v>
      </c>
      <c r="E71" s="200" t="s">
        <v>1993</v>
      </c>
      <c r="F71" s="177" t="b">
        <f>IF(ISBLANK(FarmUnit[[#This Row],[1. Identifiant interne d’exploitation agricole*]]),"",IF(ISERROR(MATCH(FarmUnit[[#This Row],[1. Identifiant interne d’exploitation agricole*]],GroupMember[1. Identifiant interne d’exploitation agricole*],0)),FALSE,TRUE))</f>
        <v>1</v>
      </c>
      <c r="G71" s="192" t="str">
        <f t="shared" si="3"/>
        <v>7.0302</v>
      </c>
      <c r="H71" s="192" t="str">
        <f t="shared" si="4"/>
        <v>-7.7839</v>
      </c>
      <c r="I71" s="193" t="str">
        <f t="array" ref="I71">IF(ISBLANK(C71),"",IF(C71=MAX(IF([1. Identifiant interne d’exploitation agricole*]=A71,[3. Superficie de l’unité agricole (ha)*])),"!","-"))</f>
        <v>!</v>
      </c>
      <c r="J71" s="178" t="str">
        <f>IFERROR(CONCATENATE(VLOOKUP(A71,GM_Table,12,FALSE)," ",(VLOOKUP(A71,GM_Table,13,FALSE))),"")</f>
        <v/>
      </c>
    </row>
    <row r="72" spans="1:10">
      <c r="A72" s="189" t="s">
        <v>961</v>
      </c>
      <c r="B72" s="190" t="s">
        <v>961</v>
      </c>
      <c r="C72" s="191">
        <v>1.9024000000000001</v>
      </c>
      <c r="D72" s="200" t="s">
        <v>1994</v>
      </c>
      <c r="E72" s="200" t="s">
        <v>1995</v>
      </c>
      <c r="F72" s="177" t="b">
        <f>IF(ISBLANK(FarmUnit[[#This Row],[1. Identifiant interne d’exploitation agricole*]]),"",IF(ISERROR(MATCH(FarmUnit[[#This Row],[1. Identifiant interne d’exploitation agricole*]],GroupMember[1. Identifiant interne d’exploitation agricole*],0)),FALSE,TRUE))</f>
        <v>1</v>
      </c>
      <c r="G72" s="192" t="str">
        <f t="shared" si="3"/>
        <v>7.0372</v>
      </c>
      <c r="H72" s="192" t="str">
        <f t="shared" si="4"/>
        <v>-7.8014</v>
      </c>
      <c r="I72" s="193" t="str">
        <f t="array" ref="I72">IF(ISBLANK(C72),"",IF(C72=MAX(IF([1. Identifiant interne d’exploitation agricole*]=A72,[3. Superficie de l’unité agricole (ha)*])),"!","-"))</f>
        <v>!</v>
      </c>
      <c r="J72" s="178" t="str">
        <f>IFERROR(CONCATENATE(VLOOKUP(A72,GM_Table,12,FALSE)," ",(VLOOKUP(A72,GM_Table,13,FALSE))),"")</f>
        <v/>
      </c>
    </row>
    <row r="73" spans="1:10">
      <c r="A73" s="189" t="s">
        <v>966</v>
      </c>
      <c r="B73" s="189" t="s">
        <v>966</v>
      </c>
      <c r="C73" s="191">
        <v>2.7953999999999999</v>
      </c>
      <c r="D73" s="200" t="s">
        <v>1996</v>
      </c>
      <c r="E73" s="200" t="s">
        <v>1997</v>
      </c>
      <c r="F73" s="177" t="b">
        <f>IF(ISBLANK(FarmUnit[[#This Row],[1. Identifiant interne d’exploitation agricole*]]),"",IF(ISERROR(MATCH(FarmUnit[[#This Row],[1. Identifiant interne d’exploitation agricole*]],GroupMember[1. Identifiant interne d’exploitation agricole*],0)),FALSE,TRUE))</f>
        <v>1</v>
      </c>
      <c r="G73" s="192" t="str">
        <f t="shared" si="3"/>
        <v>7.0691</v>
      </c>
      <c r="H73" s="192" t="str">
        <f t="shared" si="4"/>
        <v>-7.7526</v>
      </c>
      <c r="I73" s="193" t="str">
        <f t="array" ref="I73">IF(ISBLANK(C73),"",IF(C73=MAX(IF([1. Identifiant interne d’exploitation agricole*]=A73,[3. Superficie de l’unité agricole (ha)*])),"!","-"))</f>
        <v>!</v>
      </c>
      <c r="J73" s="178" t="str">
        <f>IFERROR(CONCATENATE(VLOOKUP(A73,GM_Table,12,FALSE)," ",(VLOOKUP(A73,GM_Table,13,FALSE))),"")</f>
        <v/>
      </c>
    </row>
    <row r="74" spans="1:10">
      <c r="A74" s="189" t="s">
        <v>969</v>
      </c>
      <c r="B74" s="189" t="s">
        <v>969</v>
      </c>
      <c r="C74" s="191">
        <v>8.0473999999999997</v>
      </c>
      <c r="D74" s="200" t="s">
        <v>1998</v>
      </c>
      <c r="E74" s="200" t="s">
        <v>1999</v>
      </c>
      <c r="F74" s="177" t="b">
        <f>IF(ISBLANK(FarmUnit[[#This Row],[1. Identifiant interne d’exploitation agricole*]]),"",IF(ISERROR(MATCH(FarmUnit[[#This Row],[1. Identifiant interne d’exploitation agricole*]],GroupMember[1. Identifiant interne d’exploitation agricole*],0)),FALSE,TRUE))</f>
        <v>1</v>
      </c>
      <c r="G74" s="192" t="str">
        <f t="shared" si="3"/>
        <v>7.0343</v>
      </c>
      <c r="H74" s="192" t="str">
        <f t="shared" si="4"/>
        <v>-7.7628</v>
      </c>
      <c r="I74" s="193" t="str">
        <f t="array" ref="I74">IF(ISBLANK(C74),"",IF(C74=MAX(IF([1. Identifiant interne d’exploitation agricole*]=A74,[3. Superficie de l’unité agricole (ha)*])),"!","-"))</f>
        <v>!</v>
      </c>
      <c r="J74" s="178" t="str">
        <f>IFERROR(CONCATENATE(VLOOKUP(A74,GM_Table,12,FALSE)," ",(VLOOKUP(A74,GM_Table,13,FALSE))),"")</f>
        <v/>
      </c>
    </row>
    <row r="75" spans="1:10">
      <c r="A75" s="189" t="s">
        <v>975</v>
      </c>
      <c r="B75" s="190" t="s">
        <v>975</v>
      </c>
      <c r="C75" s="191">
        <v>3.0466000000000002</v>
      </c>
      <c r="D75" s="200" t="s">
        <v>2000</v>
      </c>
      <c r="E75" s="200" t="s">
        <v>2001</v>
      </c>
      <c r="F75" s="177" t="b">
        <f>IF(ISBLANK(FarmUnit[[#This Row],[1. Identifiant interne d’exploitation agricole*]]),"",IF(ISERROR(MATCH(FarmUnit[[#This Row],[1. Identifiant interne d’exploitation agricole*]],GroupMember[1. Identifiant interne d’exploitation agricole*],0)),FALSE,TRUE))</f>
        <v>1</v>
      </c>
      <c r="G75" s="192" t="str">
        <f t="shared" si="3"/>
        <v>7.0472</v>
      </c>
      <c r="H75" s="192" t="str">
        <f t="shared" si="4"/>
        <v>-7.7773</v>
      </c>
      <c r="I75" s="193" t="str">
        <f t="array" ref="I75">IF(ISBLANK(C75),"",IF(C75=MAX(IF([1. Identifiant interne d’exploitation agricole*]=A75,[3. Superficie de l’unité agricole (ha)*])),"!","-"))</f>
        <v>!</v>
      </c>
      <c r="J75" s="178" t="str">
        <f>IFERROR(CONCATENATE(VLOOKUP(A75,GM_Table,12,FALSE)," ",(VLOOKUP(A75,GM_Table,13,FALSE))),"")</f>
        <v/>
      </c>
    </row>
    <row r="76" spans="1:10">
      <c r="A76" s="189" t="s">
        <v>979</v>
      </c>
      <c r="B76" s="190" t="s">
        <v>979</v>
      </c>
      <c r="C76" s="191">
        <v>2.2574000000000001</v>
      </c>
      <c r="D76" s="200" t="s">
        <v>2002</v>
      </c>
      <c r="E76" s="200" t="s">
        <v>2003</v>
      </c>
      <c r="F76" s="177" t="b">
        <f>IF(ISBLANK(FarmUnit[[#This Row],[1. Identifiant interne d’exploitation agricole*]]),"",IF(ISERROR(MATCH(FarmUnit[[#This Row],[1. Identifiant interne d’exploitation agricole*]],GroupMember[1. Identifiant interne d’exploitation agricole*],0)),FALSE,TRUE))</f>
        <v>1</v>
      </c>
      <c r="G76" s="192" t="str">
        <f t="shared" si="3"/>
        <v>7.0474</v>
      </c>
      <c r="H76" s="192" t="str">
        <f t="shared" si="4"/>
        <v>-7.7732</v>
      </c>
      <c r="I76" s="193" t="str">
        <f t="array" ref="I76">IF(ISBLANK(C76),"",IF(C76=MAX(IF([1. Identifiant interne d’exploitation agricole*]=A76,[3. Superficie de l’unité agricole (ha)*])),"!","-"))</f>
        <v>!</v>
      </c>
      <c r="J76" s="178" t="str">
        <f>IFERROR(CONCATENATE(VLOOKUP(A76,GM_Table,12,FALSE)," ",(VLOOKUP(A76,GM_Table,13,FALSE))),"")</f>
        <v/>
      </c>
    </row>
    <row r="77" spans="1:10">
      <c r="A77" s="189" t="s">
        <v>982</v>
      </c>
      <c r="B77" s="190" t="s">
        <v>982</v>
      </c>
      <c r="C77" s="191">
        <v>2.3408000000000002</v>
      </c>
      <c r="D77" s="200" t="s">
        <v>2004</v>
      </c>
      <c r="E77" s="200" t="s">
        <v>2005</v>
      </c>
      <c r="F77" s="177" t="b">
        <f>IF(ISBLANK(FarmUnit[[#This Row],[1. Identifiant interne d’exploitation agricole*]]),"",IF(ISERROR(MATCH(FarmUnit[[#This Row],[1. Identifiant interne d’exploitation agricole*]],GroupMember[1. Identifiant interne d’exploitation agricole*],0)),FALSE,TRUE))</f>
        <v>1</v>
      </c>
      <c r="G77" s="192" t="str">
        <f t="shared" si="3"/>
        <v>7.09119</v>
      </c>
      <c r="H77" s="192" t="str">
        <f t="shared" si="4"/>
        <v>-7.75077</v>
      </c>
      <c r="I77" s="193" t="str">
        <f t="array" ref="I77">IF(ISBLANK(C77),"",IF(C77=MAX(IF([1. Identifiant interne d’exploitation agricole*]=A77,[3. Superficie de l’unité agricole (ha)*])),"!","-"))</f>
        <v>!</v>
      </c>
      <c r="J77" s="178" t="str">
        <f>IFERROR(CONCATENATE(VLOOKUP(A77,GM_Table,12,FALSE)," ",(VLOOKUP(A77,GM_Table,13,FALSE))),"")</f>
        <v/>
      </c>
    </row>
    <row r="78" spans="1:10">
      <c r="A78" s="189" t="s">
        <v>985</v>
      </c>
      <c r="B78" s="190" t="s">
        <v>985</v>
      </c>
      <c r="C78" s="191">
        <v>5.0862999999999996</v>
      </c>
      <c r="D78" s="200" t="s">
        <v>2006</v>
      </c>
      <c r="E78" s="200" t="s">
        <v>2007</v>
      </c>
      <c r="F78" s="177" t="b">
        <f>IF(ISBLANK(FarmUnit[[#This Row],[1. Identifiant interne d’exploitation agricole*]]),"",IF(ISERROR(MATCH(FarmUnit[[#This Row],[1. Identifiant interne d’exploitation agricole*]],GroupMember[1. Identifiant interne d’exploitation agricole*],0)),FALSE,TRUE))</f>
        <v>1</v>
      </c>
      <c r="G78" s="192" t="str">
        <f t="shared" si="3"/>
        <v>7.0402</v>
      </c>
      <c r="H78" s="192" t="str">
        <f t="shared" si="4"/>
        <v>-7.7706</v>
      </c>
      <c r="I78" s="193" t="str">
        <f t="array" ref="I78">IF(ISBLANK(C78),"",IF(C78=MAX(IF([1. Identifiant interne d’exploitation agricole*]=A78,[3. Superficie de l’unité agricole (ha)*])),"!","-"))</f>
        <v>!</v>
      </c>
      <c r="J78" s="178" t="str">
        <f>IFERROR(CONCATENATE(VLOOKUP(A78,GM_Table,12,FALSE)," ",(VLOOKUP(A78,GM_Table,13,FALSE))),"")</f>
        <v/>
      </c>
    </row>
    <row r="79" spans="1:10">
      <c r="A79" s="189" t="s">
        <v>989</v>
      </c>
      <c r="B79" s="190" t="s">
        <v>989</v>
      </c>
      <c r="C79" s="191">
        <v>3.6709000000000001</v>
      </c>
      <c r="D79" s="200" t="s">
        <v>2008</v>
      </c>
      <c r="E79" s="200" t="s">
        <v>2009</v>
      </c>
      <c r="F79" s="177" t="b">
        <f>IF(ISBLANK(FarmUnit[[#This Row],[1. Identifiant interne d’exploitation agricole*]]),"",IF(ISERROR(MATCH(FarmUnit[[#This Row],[1. Identifiant interne d’exploitation agricole*]],GroupMember[1. Identifiant interne d’exploitation agricole*],0)),FALSE,TRUE))</f>
        <v>1</v>
      </c>
      <c r="G79" s="192" t="str">
        <f t="shared" si="3"/>
        <v>7.0398</v>
      </c>
      <c r="H79" s="192" t="str">
        <f t="shared" si="4"/>
        <v>-7.7661</v>
      </c>
      <c r="I79" s="193" t="str">
        <f t="array" ref="I79">IF(ISBLANK(C79),"",IF(C79=MAX(IF([1. Identifiant interne d’exploitation agricole*]=A79,[3. Superficie de l’unité agricole (ha)*])),"!","-"))</f>
        <v>!</v>
      </c>
      <c r="J79" s="178" t="str">
        <f>IFERROR(CONCATENATE(VLOOKUP(A79,GM_Table,12,FALSE)," ",(VLOOKUP(A79,GM_Table,13,FALSE))),"")</f>
        <v/>
      </c>
    </row>
    <row r="80" spans="1:10">
      <c r="A80" s="189" t="s">
        <v>970</v>
      </c>
      <c r="B80" s="190" t="s">
        <v>970</v>
      </c>
      <c r="C80" s="191">
        <v>1.8342000000000001</v>
      </c>
      <c r="D80" s="200" t="s">
        <v>2010</v>
      </c>
      <c r="E80" s="200" t="s">
        <v>2011</v>
      </c>
      <c r="F80" s="177" t="b">
        <f>IF(ISBLANK(FarmUnit[[#This Row],[1. Identifiant interne d’exploitation agricole*]]),"",IF(ISERROR(MATCH(FarmUnit[[#This Row],[1. Identifiant interne d’exploitation agricole*]],GroupMember[1. Identifiant interne d’exploitation agricole*],0)),FALSE,TRUE))</f>
        <v>1</v>
      </c>
      <c r="G80" s="192" t="str">
        <f t="shared" si="3"/>
        <v>7.0415</v>
      </c>
      <c r="H80" s="192" t="str">
        <f t="shared" si="4"/>
        <v>-7.7764</v>
      </c>
      <c r="I80" s="193" t="str">
        <f t="array" ref="I80">IF(ISBLANK(C80),"",IF(C80=MAX(IF([1. Identifiant interne d’exploitation agricole*]=A80,[3. Superficie de l’unité agricole (ha)*])),"!","-"))</f>
        <v>!</v>
      </c>
      <c r="J80" s="178" t="str">
        <f>IFERROR(CONCATENATE(VLOOKUP(A80,GM_Table,12,FALSE)," ",(VLOOKUP(A80,GM_Table,13,FALSE))),"")</f>
        <v/>
      </c>
    </row>
    <row r="81" spans="1:10">
      <c r="A81" s="189" t="s">
        <v>994</v>
      </c>
      <c r="B81" s="190" t="s">
        <v>994</v>
      </c>
      <c r="C81" s="191">
        <v>3.1499000000000001</v>
      </c>
      <c r="D81" s="200" t="s">
        <v>2012</v>
      </c>
      <c r="E81" s="200" t="s">
        <v>2013</v>
      </c>
      <c r="F81" s="177" t="b">
        <f>IF(ISBLANK(FarmUnit[[#This Row],[1. Identifiant interne d’exploitation agricole*]]),"",IF(ISERROR(MATCH(FarmUnit[[#This Row],[1. Identifiant interne d’exploitation agricole*]],GroupMember[1. Identifiant interne d’exploitation agricole*],0)),FALSE,TRUE))</f>
        <v>1</v>
      </c>
      <c r="G81" s="192" t="str">
        <f t="shared" si="3"/>
        <v>6.89487</v>
      </c>
      <c r="H81" s="192" t="str">
        <f t="shared" si="4"/>
        <v>-7.80227</v>
      </c>
      <c r="I81" s="193" t="str">
        <f t="array" ref="I81">IF(ISBLANK(C81),"",IF(C81=MAX(IF([1. Identifiant interne d’exploitation agricole*]=A81,[3. Superficie de l’unité agricole (ha)*])),"!","-"))</f>
        <v>!</v>
      </c>
      <c r="J81" s="178" t="str">
        <f>IFERROR(CONCATENATE(VLOOKUP(A81,GM_Table,12,FALSE)," ",(VLOOKUP(A81,GM_Table,13,FALSE))),"")</f>
        <v/>
      </c>
    </row>
    <row r="82" spans="1:10">
      <c r="A82" s="189" t="s">
        <v>997</v>
      </c>
      <c r="B82" s="190" t="s">
        <v>997</v>
      </c>
      <c r="C82" s="191">
        <v>5.4744999999999999</v>
      </c>
      <c r="D82" s="200" t="s">
        <v>2014</v>
      </c>
      <c r="E82" s="200" t="s">
        <v>2015</v>
      </c>
      <c r="F82" s="177" t="b">
        <f>IF(ISBLANK(FarmUnit[[#This Row],[1. Identifiant interne d’exploitation agricole*]]),"",IF(ISERROR(MATCH(FarmUnit[[#This Row],[1. Identifiant interne d’exploitation agricole*]],GroupMember[1. Identifiant interne d’exploitation agricole*],0)),FALSE,TRUE))</f>
        <v>1</v>
      </c>
      <c r="G82" s="192" t="str">
        <f t="shared" si="3"/>
        <v>7.074</v>
      </c>
      <c r="H82" s="192" t="str">
        <f t="shared" si="4"/>
        <v>-7.7893</v>
      </c>
      <c r="I82" s="193" t="str">
        <f t="array" ref="I82">IF(ISBLANK(C82),"",IF(C82=MAX(IF([1. Identifiant interne d’exploitation agricole*]=A82,[3. Superficie de l’unité agricole (ha)*])),"!","-"))</f>
        <v>!</v>
      </c>
      <c r="J82" s="178" t="str">
        <f>IFERROR(CONCATENATE(VLOOKUP(A82,GM_Table,12,FALSE)," ",(VLOOKUP(A82,GM_Table,13,FALSE))),"")</f>
        <v/>
      </c>
    </row>
    <row r="83" spans="1:10">
      <c r="A83" s="189" t="s">
        <v>1000</v>
      </c>
      <c r="B83" s="190" t="s">
        <v>1000</v>
      </c>
      <c r="C83" s="191">
        <v>0.94310000000000005</v>
      </c>
      <c r="D83" s="200" t="s">
        <v>2016</v>
      </c>
      <c r="E83" s="200" t="s">
        <v>2017</v>
      </c>
      <c r="F83" s="177" t="b">
        <f>IF(ISBLANK(FarmUnit[[#This Row],[1. Identifiant interne d’exploitation agricole*]]),"",IF(ISERROR(MATCH(FarmUnit[[#This Row],[1. Identifiant interne d’exploitation agricole*]],GroupMember[1. Identifiant interne d’exploitation agricole*],0)),FALSE,TRUE))</f>
        <v>1</v>
      </c>
      <c r="G83" s="192" t="str">
        <f t="shared" si="3"/>
        <v>7.0039</v>
      </c>
      <c r="H83" s="192" t="str">
        <f t="shared" si="4"/>
        <v>-7.7784</v>
      </c>
      <c r="I83" s="193" t="str">
        <f t="array" ref="I83">IF(ISBLANK(C83),"",IF(C83=MAX(IF([1. Identifiant interne d’exploitation agricole*]=A83,[3. Superficie de l’unité agricole (ha)*])),"!","-"))</f>
        <v>!</v>
      </c>
      <c r="J83" s="178" t="str">
        <f>IFERROR(CONCATENATE(VLOOKUP(A83,GM_Table,12,FALSE)," ",(VLOOKUP(A83,GM_Table,13,FALSE))),"")</f>
        <v/>
      </c>
    </row>
    <row r="84" spans="1:10">
      <c r="A84" s="189" t="s">
        <v>1005</v>
      </c>
      <c r="B84" s="190" t="s">
        <v>1005</v>
      </c>
      <c r="C84" s="191">
        <v>1.3478000000000001</v>
      </c>
      <c r="D84" s="200" t="s">
        <v>2018</v>
      </c>
      <c r="E84" s="200" t="s">
        <v>2019</v>
      </c>
      <c r="F84" s="177" t="b">
        <f>IF(ISBLANK(FarmUnit[[#This Row],[1. Identifiant interne d’exploitation agricole*]]),"",IF(ISERROR(MATCH(FarmUnit[[#This Row],[1. Identifiant interne d’exploitation agricole*]],GroupMember[1. Identifiant interne d’exploitation agricole*],0)),FALSE,TRUE))</f>
        <v>1</v>
      </c>
      <c r="G84" s="192" t="str">
        <f t="shared" si="3"/>
        <v>7.0136</v>
      </c>
      <c r="H84" s="192" t="str">
        <f t="shared" si="4"/>
        <v>-7.7771</v>
      </c>
      <c r="I84" s="193" t="str">
        <f t="array" ref="I84">IF(ISBLANK(C84),"",IF(C84=MAX(IF([1. Identifiant interne d’exploitation agricole*]=A84,[3. Superficie de l’unité agricole (ha)*])),"!","-"))</f>
        <v>!</v>
      </c>
      <c r="J84" s="178" t="str">
        <f>IFERROR(CONCATENATE(VLOOKUP(A84,GM_Table,12,FALSE)," ",(VLOOKUP(A84,GM_Table,13,FALSE))),"")</f>
        <v/>
      </c>
    </row>
    <row r="85" spans="1:10">
      <c r="A85" s="189" t="s">
        <v>1008</v>
      </c>
      <c r="B85" s="190" t="s">
        <v>1008</v>
      </c>
      <c r="C85" s="191">
        <v>0.66510000000000002</v>
      </c>
      <c r="D85" s="200" t="s">
        <v>2020</v>
      </c>
      <c r="E85" s="200" t="s">
        <v>2021</v>
      </c>
      <c r="F85" s="177" t="b">
        <f>IF(ISBLANK(FarmUnit[[#This Row],[1. Identifiant interne d’exploitation agricole*]]),"",IF(ISERROR(MATCH(FarmUnit[[#This Row],[1. Identifiant interne d’exploitation agricole*]],GroupMember[1. Identifiant interne d’exploitation agricole*],0)),FALSE,TRUE))</f>
        <v>1</v>
      </c>
      <c r="G85" s="192" t="str">
        <f t="shared" ref="G85:G127" si="5">IF(D85=0,"",D85)</f>
        <v>6.88668</v>
      </c>
      <c r="H85" s="192" t="str">
        <f t="shared" ref="H85:H127" si="6">IF(E85=0,"",E85)</f>
        <v>-7.83849</v>
      </c>
      <c r="I85" s="193" t="str">
        <f t="array" ref="I85">IF(ISBLANK(C85),"",IF(C85=MAX(IF([1. Identifiant interne d’exploitation agricole*]=A85,[3. Superficie de l’unité agricole (ha)*])),"!","-"))</f>
        <v>!</v>
      </c>
      <c r="J85" s="178" t="str">
        <f>IFERROR(CONCATENATE(VLOOKUP(A85,GM_Table,12,FALSE)," ",(VLOOKUP(A85,GM_Table,13,FALSE))),"")</f>
        <v/>
      </c>
    </row>
    <row r="86" spans="1:10">
      <c r="A86" s="189" t="s">
        <v>1010</v>
      </c>
      <c r="B86" s="190" t="s">
        <v>1010</v>
      </c>
      <c r="C86" s="191">
        <v>2.1225999999999998</v>
      </c>
      <c r="D86" s="200" t="s">
        <v>2022</v>
      </c>
      <c r="E86" s="200" t="s">
        <v>2023</v>
      </c>
      <c r="F86" s="177" t="b">
        <f>IF(ISBLANK(FarmUnit[[#This Row],[1. Identifiant interne d’exploitation agricole*]]),"",IF(ISERROR(MATCH(FarmUnit[[#This Row],[1. Identifiant interne d’exploitation agricole*]],GroupMember[1. Identifiant interne d’exploitation agricole*],0)),FALSE,TRUE))</f>
        <v>1</v>
      </c>
      <c r="G86" s="192" t="str">
        <f t="shared" si="5"/>
        <v>6.88302</v>
      </c>
      <c r="H86" s="192" t="str">
        <f t="shared" si="6"/>
        <v>-7.83128</v>
      </c>
      <c r="I86" s="193" t="str">
        <f t="array" ref="I86">IF(ISBLANK(C86),"",IF(C86=MAX(IF([1. Identifiant interne d’exploitation agricole*]=A86,[3. Superficie de l’unité agricole (ha)*])),"!","-"))</f>
        <v>!</v>
      </c>
      <c r="J86" s="178" t="str">
        <f>IFERROR(CONCATENATE(VLOOKUP(A86,GM_Table,12,FALSE)," ",(VLOOKUP(A86,GM_Table,13,FALSE))),"")</f>
        <v/>
      </c>
    </row>
    <row r="87" spans="1:10">
      <c r="A87" s="189" t="s">
        <v>1014</v>
      </c>
      <c r="B87" s="190" t="s">
        <v>1014</v>
      </c>
      <c r="C87" s="191">
        <v>2.8275000000000001</v>
      </c>
      <c r="D87" s="200" t="s">
        <v>2024</v>
      </c>
      <c r="E87" s="200" t="s">
        <v>2025</v>
      </c>
      <c r="F87" s="177" t="b">
        <f>IF(ISBLANK(FarmUnit[[#This Row],[1. Identifiant interne d’exploitation agricole*]]),"",IF(ISERROR(MATCH(FarmUnit[[#This Row],[1. Identifiant interne d’exploitation agricole*]],GroupMember[1. Identifiant interne d’exploitation agricole*],0)),FALSE,TRUE))</f>
        <v>1</v>
      </c>
      <c r="G87" s="192" t="str">
        <f t="shared" si="5"/>
        <v>7.0171</v>
      </c>
      <c r="H87" s="192" t="str">
        <f t="shared" si="6"/>
        <v>-7.7892</v>
      </c>
      <c r="I87" s="193" t="str">
        <f t="array" ref="I87">IF(ISBLANK(C87),"",IF(C87=MAX(IF([1. Identifiant interne d’exploitation agricole*]=A87,[3. Superficie de l’unité agricole (ha)*])),"!","-"))</f>
        <v>!</v>
      </c>
      <c r="J87" s="178" t="str">
        <f>IFERROR(CONCATENATE(VLOOKUP(A87,GM_Table,12,FALSE)," ",(VLOOKUP(A87,GM_Table,13,FALSE))),"")</f>
        <v/>
      </c>
    </row>
    <row r="88" spans="1:10">
      <c r="A88" s="189" t="s">
        <v>1017</v>
      </c>
      <c r="B88" s="190" t="s">
        <v>1017</v>
      </c>
      <c r="C88" s="191">
        <v>2.2604000000000002</v>
      </c>
      <c r="D88" s="200" t="s">
        <v>2026</v>
      </c>
      <c r="E88" s="200" t="s">
        <v>2027</v>
      </c>
      <c r="F88" s="177" t="b">
        <f>IF(ISBLANK(FarmUnit[[#This Row],[1. Identifiant interne d’exploitation agricole*]]),"",IF(ISERROR(MATCH(FarmUnit[[#This Row],[1. Identifiant interne d’exploitation agricole*]],GroupMember[1. Identifiant interne d’exploitation agricole*],0)),FALSE,TRUE))</f>
        <v>1</v>
      </c>
      <c r="G88" s="192" t="str">
        <f t="shared" si="5"/>
        <v>6.9919</v>
      </c>
      <c r="H88" s="192" t="str">
        <f t="shared" si="6"/>
        <v>-7.7729</v>
      </c>
      <c r="I88" s="193" t="str">
        <f t="array" ref="I88">IF(ISBLANK(C88),"",IF(C88=MAX(IF([1. Identifiant interne d’exploitation agricole*]=A88,[3. Superficie de l’unité agricole (ha)*])),"!","-"))</f>
        <v>!</v>
      </c>
      <c r="J88" s="178" t="str">
        <f>IFERROR(CONCATENATE(VLOOKUP(A88,GM_Table,12,FALSE)," ",(VLOOKUP(A88,GM_Table,13,FALSE))),"")</f>
        <v/>
      </c>
    </row>
    <row r="89" spans="1:10">
      <c r="A89" s="189" t="s">
        <v>1021</v>
      </c>
      <c r="B89" s="190" t="s">
        <v>1021</v>
      </c>
      <c r="C89" s="191">
        <v>1.4298</v>
      </c>
      <c r="D89" s="200" t="s">
        <v>2028</v>
      </c>
      <c r="E89" s="200" t="s">
        <v>2029</v>
      </c>
      <c r="F89" s="177" t="b">
        <f>IF(ISBLANK(FarmUnit[[#This Row],[1. Identifiant interne d’exploitation agricole*]]),"",IF(ISERROR(MATCH(FarmUnit[[#This Row],[1. Identifiant interne d’exploitation agricole*]],GroupMember[1. Identifiant interne d’exploitation agricole*],0)),FALSE,TRUE))</f>
        <v>1</v>
      </c>
      <c r="G89" s="192" t="str">
        <f t="shared" si="5"/>
        <v>7.077</v>
      </c>
      <c r="H89" s="192" t="str">
        <f t="shared" si="6"/>
        <v>-7.7524</v>
      </c>
      <c r="I89" s="193" t="str">
        <f t="array" ref="I89">IF(ISBLANK(C89),"",IF(C89=MAX(IF([1. Identifiant interne d’exploitation agricole*]=A89,[3. Superficie de l’unité agricole (ha)*])),"!","-"))</f>
        <v>!</v>
      </c>
      <c r="J89" s="178" t="str">
        <f>IFERROR(CONCATENATE(VLOOKUP(A89,GM_Table,12,FALSE)," ",(VLOOKUP(A89,GM_Table,13,FALSE))),"")</f>
        <v/>
      </c>
    </row>
    <row r="90" spans="1:10">
      <c r="A90" s="189" t="s">
        <v>1025</v>
      </c>
      <c r="B90" s="190" t="s">
        <v>1025</v>
      </c>
      <c r="C90" s="191">
        <v>2.5464000000000002</v>
      </c>
      <c r="D90" s="200" t="s">
        <v>2030</v>
      </c>
      <c r="E90" s="200" t="s">
        <v>2031</v>
      </c>
      <c r="F90" s="177" t="b">
        <f>IF(ISBLANK(FarmUnit[[#This Row],[1. Identifiant interne d’exploitation agricole*]]),"",IF(ISERROR(MATCH(FarmUnit[[#This Row],[1. Identifiant interne d’exploitation agricole*]],GroupMember[1. Identifiant interne d’exploitation agricole*],0)),FALSE,TRUE))</f>
        <v>1</v>
      </c>
      <c r="G90" s="192" t="str">
        <f t="shared" si="5"/>
        <v>7.0817</v>
      </c>
      <c r="H90" s="192" t="str">
        <f t="shared" si="6"/>
        <v>-7.7682</v>
      </c>
      <c r="I90" s="193" t="str">
        <f t="array" ref="I90">IF(ISBLANK(C90),"",IF(C90=MAX(IF([1. Identifiant interne d’exploitation agricole*]=A90,[3. Superficie de l’unité agricole (ha)*])),"!","-"))</f>
        <v>!</v>
      </c>
      <c r="J90" s="178" t="str">
        <f>IFERROR(CONCATENATE(VLOOKUP(A90,GM_Table,12,FALSE)," ",(VLOOKUP(A90,GM_Table,13,FALSE))),"")</f>
        <v/>
      </c>
    </row>
    <row r="91" spans="1:10">
      <c r="A91" s="189" t="s">
        <v>1027</v>
      </c>
      <c r="B91" s="190" t="s">
        <v>1027</v>
      </c>
      <c r="C91" s="191">
        <v>1.1492</v>
      </c>
      <c r="D91" s="200" t="s">
        <v>2032</v>
      </c>
      <c r="E91" s="200" t="s">
        <v>2033</v>
      </c>
      <c r="F91" s="177" t="b">
        <f>IF(ISBLANK(FarmUnit[[#This Row],[1. Identifiant interne d’exploitation agricole*]]),"",IF(ISERROR(MATCH(FarmUnit[[#This Row],[1. Identifiant interne d’exploitation agricole*]],GroupMember[1. Identifiant interne d’exploitation agricole*],0)),FALSE,TRUE))</f>
        <v>1</v>
      </c>
      <c r="G91" s="192" t="str">
        <f t="shared" si="5"/>
        <v>7.0842</v>
      </c>
      <c r="H91" s="192" t="str">
        <f t="shared" si="6"/>
        <v>-7.7612</v>
      </c>
      <c r="I91" s="193" t="str">
        <f t="array" ref="I91">IF(ISBLANK(C91),"",IF(C91=MAX(IF([1. Identifiant interne d’exploitation agricole*]=A91,[3. Superficie de l’unité agricole (ha)*])),"!","-"))</f>
        <v>!</v>
      </c>
      <c r="J91" s="178" t="str">
        <f>IFERROR(CONCATENATE(VLOOKUP(A91,GM_Table,12,FALSE)," ",(VLOOKUP(A91,GM_Table,13,FALSE))),"")</f>
        <v/>
      </c>
    </row>
    <row r="92" spans="1:10">
      <c r="A92" s="189" t="s">
        <v>1030</v>
      </c>
      <c r="B92" s="190" t="s">
        <v>1030</v>
      </c>
      <c r="C92" s="191">
        <v>1.6935</v>
      </c>
      <c r="D92" s="200" t="s">
        <v>2034</v>
      </c>
      <c r="E92" s="200" t="s">
        <v>2035</v>
      </c>
      <c r="F92" s="177" t="b">
        <f>IF(ISBLANK(FarmUnit[[#This Row],[1. Identifiant interne d’exploitation agricole*]]),"",IF(ISERROR(MATCH(FarmUnit[[#This Row],[1. Identifiant interne d’exploitation agricole*]],GroupMember[1. Identifiant interne d’exploitation agricole*],0)),FALSE,TRUE))</f>
        <v>1</v>
      </c>
      <c r="G92" s="192" t="str">
        <f t="shared" si="5"/>
        <v>7.0773</v>
      </c>
      <c r="H92" s="192" t="str">
        <f t="shared" si="6"/>
        <v>-7.7528</v>
      </c>
      <c r="I92" s="193" t="str">
        <f t="array" ref="I92">IF(ISBLANK(C92),"",IF(C92=MAX(IF([1. Identifiant interne d’exploitation agricole*]=A92,[3. Superficie de l’unité agricole (ha)*])),"!","-"))</f>
        <v>!</v>
      </c>
      <c r="J92" s="178" t="str">
        <f>IFERROR(CONCATENATE(VLOOKUP(A92,GM_Table,12,FALSE)," ",(VLOOKUP(A92,GM_Table,13,FALSE))),"")</f>
        <v/>
      </c>
    </row>
    <row r="93" spans="1:10">
      <c r="A93" s="189" t="s">
        <v>1034</v>
      </c>
      <c r="B93" s="190" t="s">
        <v>1034</v>
      </c>
      <c r="C93" s="191">
        <v>1.6818</v>
      </c>
      <c r="D93" s="200" t="s">
        <v>2036</v>
      </c>
      <c r="E93" s="200" t="s">
        <v>2037</v>
      </c>
      <c r="F93" s="177" t="b">
        <f>IF(ISBLANK(FarmUnit[[#This Row],[1. Identifiant interne d’exploitation agricole*]]),"",IF(ISERROR(MATCH(FarmUnit[[#This Row],[1. Identifiant interne d’exploitation agricole*]],GroupMember[1. Identifiant interne d’exploitation agricole*],0)),FALSE,TRUE))</f>
        <v>1</v>
      </c>
      <c r="G93" s="192" t="str">
        <f t="shared" si="5"/>
        <v>6.96584</v>
      </c>
      <c r="H93" s="192" t="str">
        <f t="shared" si="6"/>
        <v>-7.89436</v>
      </c>
      <c r="I93" s="193" t="str">
        <f t="array" ref="I93">IF(ISBLANK(C93),"",IF(C93=MAX(IF([1. Identifiant interne d’exploitation agricole*]=A93,[3. Superficie de l’unité agricole (ha)*])),"!","-"))</f>
        <v>!</v>
      </c>
      <c r="J93" s="178" t="str">
        <f>IFERROR(CONCATENATE(VLOOKUP(A93,GM_Table,12,FALSE)," ",(VLOOKUP(A93,GM_Table,13,FALSE))),"")</f>
        <v/>
      </c>
    </row>
    <row r="94" spans="1:10">
      <c r="A94" s="189" t="s">
        <v>1037</v>
      </c>
      <c r="B94" s="189" t="s">
        <v>1037</v>
      </c>
      <c r="C94" s="191">
        <v>4.5156000000000001</v>
      </c>
      <c r="D94" s="200" t="s">
        <v>2038</v>
      </c>
      <c r="E94" s="200" t="s">
        <v>2039</v>
      </c>
      <c r="F94" s="177" t="b">
        <f>IF(ISBLANK(FarmUnit[[#This Row],[1. Identifiant interne d’exploitation agricole*]]),"",IF(ISERROR(MATCH(FarmUnit[[#This Row],[1. Identifiant interne d’exploitation agricole*]],GroupMember[1. Identifiant interne d’exploitation agricole*],0)),FALSE,TRUE))</f>
        <v>1</v>
      </c>
      <c r="G94" s="192" t="str">
        <f t="shared" si="5"/>
        <v>6.95672</v>
      </c>
      <c r="H94" s="192" t="str">
        <f t="shared" si="6"/>
        <v>-7.93007</v>
      </c>
      <c r="I94" s="193" t="str">
        <f t="array" ref="I94">IF(ISBLANK(C94),"",IF(C94=MAX(IF([1. Identifiant interne d’exploitation agricole*]=A94,[3. Superficie de l’unité agricole (ha)*])),"!","-"))</f>
        <v>!</v>
      </c>
      <c r="J94" s="178" t="str">
        <f>IFERROR(CONCATENATE(VLOOKUP(A94,GM_Table,12,FALSE)," ",(VLOOKUP(A94,GM_Table,13,FALSE))),"")</f>
        <v/>
      </c>
    </row>
    <row r="95" spans="1:10">
      <c r="A95" s="189" t="s">
        <v>1040</v>
      </c>
      <c r="B95" s="190" t="s">
        <v>1040</v>
      </c>
      <c r="C95" s="191">
        <v>1.0177</v>
      </c>
      <c r="D95" s="200" t="s">
        <v>2040</v>
      </c>
      <c r="E95" s="200" t="s">
        <v>2041</v>
      </c>
      <c r="F95" s="177" t="b">
        <f>IF(ISBLANK(FarmUnit[[#This Row],[1. Identifiant interne d’exploitation agricole*]]),"",IF(ISERROR(MATCH(FarmUnit[[#This Row],[1. Identifiant interne d’exploitation agricole*]],GroupMember[1. Identifiant interne d’exploitation agricole*],0)),FALSE,TRUE))</f>
        <v>1</v>
      </c>
      <c r="G95" s="192" t="str">
        <f t="shared" si="5"/>
        <v>6.98603</v>
      </c>
      <c r="H95" s="192" t="str">
        <f t="shared" si="6"/>
        <v>-7.93419</v>
      </c>
      <c r="I95" s="193" t="str">
        <f t="array" ref="I95">IF(ISBLANK(C95),"",IF(C95=MAX(IF([1. Identifiant interne d’exploitation agricole*]=A95,[3. Superficie de l’unité agricole (ha)*])),"!","-"))</f>
        <v>!</v>
      </c>
      <c r="J95" s="178" t="str">
        <f>IFERROR(CONCATENATE(VLOOKUP(A95,GM_Table,12,FALSE)," ",(VLOOKUP(A95,GM_Table,13,FALSE))),"")</f>
        <v/>
      </c>
    </row>
    <row r="96" spans="1:10">
      <c r="A96" s="189" t="s">
        <v>1043</v>
      </c>
      <c r="B96" s="190" t="s">
        <v>1043</v>
      </c>
      <c r="C96" s="191">
        <v>1.5848</v>
      </c>
      <c r="D96" s="200" t="s">
        <v>2042</v>
      </c>
      <c r="E96" s="200" t="s">
        <v>2043</v>
      </c>
      <c r="F96" s="177" t="b">
        <f>IF(ISBLANK(FarmUnit[[#This Row],[1. Identifiant interne d’exploitation agricole*]]),"",IF(ISERROR(MATCH(FarmUnit[[#This Row],[1. Identifiant interne d’exploitation agricole*]],GroupMember[1. Identifiant interne d’exploitation agricole*],0)),FALSE,TRUE))</f>
        <v>1</v>
      </c>
      <c r="G96" s="192" t="str">
        <f t="shared" si="5"/>
        <v>7.0922</v>
      </c>
      <c r="H96" s="192" t="str">
        <f t="shared" si="6"/>
        <v>-7.7555</v>
      </c>
      <c r="I96" s="193" t="str">
        <f t="array" ref="I96">IF(ISBLANK(C96),"",IF(C96=MAX(IF([1. Identifiant interne d’exploitation agricole*]=A96,[3. Superficie de l’unité agricole (ha)*])),"!","-"))</f>
        <v>!</v>
      </c>
      <c r="J96" s="178" t="str">
        <f>IFERROR(CONCATENATE(VLOOKUP(A96,GM_Table,12,FALSE)," ",(VLOOKUP(A96,GM_Table,13,FALSE))),"")</f>
        <v/>
      </c>
    </row>
    <row r="97" spans="1:10">
      <c r="A97" s="189" t="s">
        <v>1046</v>
      </c>
      <c r="B97" s="189" t="s">
        <v>1046</v>
      </c>
      <c r="C97" s="191">
        <v>9.9945000000000004</v>
      </c>
      <c r="D97" s="200" t="s">
        <v>2044</v>
      </c>
      <c r="E97" s="200" t="s">
        <v>2045</v>
      </c>
      <c r="F97" s="177" t="b">
        <f>IF(ISBLANK(FarmUnit[[#This Row],[1. Identifiant interne d’exploitation agricole*]]),"",IF(ISERROR(MATCH(FarmUnit[[#This Row],[1. Identifiant interne d’exploitation agricole*]],GroupMember[1. Identifiant interne d’exploitation agricole*],0)),FALSE,TRUE))</f>
        <v>1</v>
      </c>
      <c r="G97" s="192" t="str">
        <f t="shared" si="5"/>
        <v>7.059</v>
      </c>
      <c r="H97" s="192" t="str">
        <f t="shared" si="6"/>
        <v>-7.7348</v>
      </c>
      <c r="I97" s="193" t="str">
        <f t="array" ref="I97">IF(ISBLANK(C97),"",IF(C97=MAX(IF([1. Identifiant interne d’exploitation agricole*]=A97,[3. Superficie de l’unité agricole (ha)*])),"!","-"))</f>
        <v>!</v>
      </c>
      <c r="J97" s="178" t="str">
        <f>IFERROR(CONCATENATE(VLOOKUP(A97,GM_Table,12,FALSE)," ",(VLOOKUP(A97,GM_Table,13,FALSE))),"")</f>
        <v/>
      </c>
    </row>
    <row r="98" spans="1:10">
      <c r="A98" s="189" t="s">
        <v>1050</v>
      </c>
      <c r="B98" s="190" t="s">
        <v>1050</v>
      </c>
      <c r="C98" s="191">
        <v>4.4454000000000002</v>
      </c>
      <c r="D98" s="200" t="s">
        <v>2046</v>
      </c>
      <c r="E98" s="200" t="s">
        <v>2047</v>
      </c>
      <c r="F98" s="177" t="b">
        <f>IF(ISBLANK(FarmUnit[[#This Row],[1. Identifiant interne d’exploitation agricole*]]),"",IF(ISERROR(MATCH(FarmUnit[[#This Row],[1. Identifiant interne d’exploitation agricole*]],GroupMember[1. Identifiant interne d’exploitation agricole*],0)),FALSE,TRUE))</f>
        <v>1</v>
      </c>
      <c r="G98" s="192" t="str">
        <f t="shared" si="5"/>
        <v>7.0487</v>
      </c>
      <c r="H98" s="192" t="str">
        <f t="shared" si="6"/>
        <v>-7.7751</v>
      </c>
      <c r="I98" s="193" t="str">
        <f t="array" ref="I98">IF(ISBLANK(C98),"",IF(C98=MAX(IF([1. Identifiant interne d’exploitation agricole*]=A98,[3. Superficie de l’unité agricole (ha)*])),"!","-"))</f>
        <v>!</v>
      </c>
      <c r="J98" s="178" t="str">
        <f>IFERROR(CONCATENATE(VLOOKUP(A98,GM_Table,12,FALSE)," ",(VLOOKUP(A98,GM_Table,13,FALSE))),"")</f>
        <v/>
      </c>
    </row>
    <row r="99" spans="1:10">
      <c r="A99" s="189" t="s">
        <v>1052</v>
      </c>
      <c r="B99" s="189" t="s">
        <v>1052</v>
      </c>
      <c r="C99" s="191">
        <v>2.1766999999999999</v>
      </c>
      <c r="D99" s="200" t="s">
        <v>2048</v>
      </c>
      <c r="E99" s="200" t="s">
        <v>2049</v>
      </c>
      <c r="F99" s="177" t="b">
        <f>IF(ISBLANK(FarmUnit[[#This Row],[1. Identifiant interne d’exploitation agricole*]]),"",IF(ISERROR(MATCH(FarmUnit[[#This Row],[1. Identifiant interne d’exploitation agricole*]],GroupMember[1. Identifiant interne d’exploitation agricole*],0)),FALSE,TRUE))</f>
        <v>1</v>
      </c>
      <c r="G99" s="192" t="str">
        <f t="shared" si="5"/>
        <v>7.0356</v>
      </c>
      <c r="H99" s="192" t="str">
        <f t="shared" si="6"/>
        <v>-7.7823</v>
      </c>
      <c r="I99" s="193" t="str">
        <f t="array" ref="I99">IF(ISBLANK(C99),"",IF(C99=MAX(IF([1. Identifiant interne d’exploitation agricole*]=A99,[3. Superficie de l’unité agricole (ha)*])),"!","-"))</f>
        <v>!</v>
      </c>
      <c r="J99" s="178" t="str">
        <f>IFERROR(CONCATENATE(VLOOKUP(A99,GM_Table,12,FALSE)," ",(VLOOKUP(A99,GM_Table,13,FALSE))),"")</f>
        <v/>
      </c>
    </row>
    <row r="100" spans="1:10">
      <c r="A100" s="189" t="s">
        <v>1055</v>
      </c>
      <c r="B100" s="189" t="s">
        <v>1055</v>
      </c>
      <c r="C100" s="191">
        <v>3.0510999999999999</v>
      </c>
      <c r="D100" s="200" t="s">
        <v>2050</v>
      </c>
      <c r="E100" s="200" t="s">
        <v>2051</v>
      </c>
      <c r="F100" s="177" t="b">
        <f>IF(ISBLANK(FarmUnit[[#This Row],[1. Identifiant interne d’exploitation agricole*]]),"",IF(ISERROR(MATCH(FarmUnit[[#This Row],[1. Identifiant interne d’exploitation agricole*]],GroupMember[1. Identifiant interne d’exploitation agricole*],0)),FALSE,TRUE))</f>
        <v>1</v>
      </c>
      <c r="G100" s="192" t="str">
        <f t="shared" si="5"/>
        <v>6.94786</v>
      </c>
      <c r="H100" s="192" t="str">
        <f t="shared" si="6"/>
        <v>-7.79489</v>
      </c>
      <c r="I100" s="193" t="str">
        <f t="array" ref="I100">IF(ISBLANK(C100),"",IF(C100=MAX(IF([1. Identifiant interne d’exploitation agricole*]=A100,[3. Superficie de l’unité agricole (ha)*])),"!","-"))</f>
        <v>!</v>
      </c>
      <c r="J100" s="178" t="str">
        <f>IFERROR(CONCATENATE(VLOOKUP(A100,GM_Table,12,FALSE)," ",(VLOOKUP(A100,GM_Table,13,FALSE))),"")</f>
        <v/>
      </c>
    </row>
    <row r="101" spans="1:10">
      <c r="A101" s="189" t="s">
        <v>1058</v>
      </c>
      <c r="B101" s="190" t="s">
        <v>1058</v>
      </c>
      <c r="C101" s="191">
        <v>1.0304</v>
      </c>
      <c r="D101" s="200" t="s">
        <v>2052</v>
      </c>
      <c r="E101" s="200" t="s">
        <v>2053</v>
      </c>
      <c r="F101" s="177" t="b">
        <f>IF(ISBLANK(FarmUnit[[#This Row],[1. Identifiant interne d’exploitation agricole*]]),"",IF(ISERROR(MATCH(FarmUnit[[#This Row],[1. Identifiant interne d’exploitation agricole*]],GroupMember[1. Identifiant interne d’exploitation agricole*],0)),FALSE,TRUE))</f>
        <v>1</v>
      </c>
      <c r="G101" s="192" t="str">
        <f t="shared" si="5"/>
        <v>7.0179</v>
      </c>
      <c r="H101" s="192" t="str">
        <f t="shared" si="6"/>
        <v>-7.7624</v>
      </c>
      <c r="I101" s="193" t="str">
        <f t="array" ref="I101">IF(ISBLANK(C101),"",IF(C101=MAX(IF([1. Identifiant interne d’exploitation agricole*]=A101,[3. Superficie de l’unité agricole (ha)*])),"!","-"))</f>
        <v>!</v>
      </c>
      <c r="J101" s="178" t="str">
        <f>IFERROR(CONCATENATE(VLOOKUP(A101,GM_Table,12,FALSE)," ",(VLOOKUP(A101,GM_Table,13,FALSE))),"")</f>
        <v/>
      </c>
    </row>
    <row r="102" spans="1:10">
      <c r="A102" s="189" t="s">
        <v>1061</v>
      </c>
      <c r="B102" s="190" t="s">
        <v>1061</v>
      </c>
      <c r="C102" s="191">
        <v>1.6722999999999999</v>
      </c>
      <c r="D102" s="200" t="s">
        <v>2054</v>
      </c>
      <c r="E102" s="200" t="s">
        <v>2055</v>
      </c>
      <c r="F102" s="177" t="b">
        <f>IF(ISBLANK(FarmUnit[[#This Row],[1. Identifiant interne d’exploitation agricole*]]),"",IF(ISERROR(MATCH(FarmUnit[[#This Row],[1. Identifiant interne d’exploitation agricole*]],GroupMember[1. Identifiant interne d’exploitation agricole*],0)),FALSE,TRUE))</f>
        <v>1</v>
      </c>
      <c r="G102" s="192" t="str">
        <f t="shared" si="5"/>
        <v>7.0227</v>
      </c>
      <c r="H102" s="192" t="str">
        <f t="shared" si="6"/>
        <v>-7.7616</v>
      </c>
      <c r="I102" s="193" t="str">
        <f t="array" ref="I102">IF(ISBLANK(C102),"",IF(C102=MAX(IF([1. Identifiant interne d’exploitation agricole*]=A102,[3. Superficie de l’unité agricole (ha)*])),"!","-"))</f>
        <v>!</v>
      </c>
      <c r="J102" s="178" t="str">
        <f>IFERROR(CONCATENATE(VLOOKUP(A102,GM_Table,12,FALSE)," ",(VLOOKUP(A102,GM_Table,13,FALSE))),"")</f>
        <v/>
      </c>
    </row>
    <row r="103" spans="1:10">
      <c r="A103" s="189" t="s">
        <v>1063</v>
      </c>
      <c r="B103" s="190" t="s">
        <v>1063</v>
      </c>
      <c r="C103" s="191">
        <v>3.2275999999999998</v>
      </c>
      <c r="D103" s="200" t="s">
        <v>2056</v>
      </c>
      <c r="E103" s="200" t="s">
        <v>2057</v>
      </c>
      <c r="F103" s="177" t="b">
        <f>IF(ISBLANK(FarmUnit[[#This Row],[1. Identifiant interne d’exploitation agricole*]]),"",IF(ISERROR(MATCH(FarmUnit[[#This Row],[1. Identifiant interne d’exploitation agricole*]],GroupMember[1. Identifiant interne d’exploitation agricole*],0)),FALSE,TRUE))</f>
        <v>1</v>
      </c>
      <c r="G103" s="192" t="str">
        <f t="shared" si="5"/>
        <v>7.0333</v>
      </c>
      <c r="H103" s="192" t="str">
        <f t="shared" si="6"/>
        <v>-7.7651</v>
      </c>
      <c r="I103" s="193" t="str">
        <f t="array" ref="I103">IF(ISBLANK(C103),"",IF(C103=MAX(IF([1. Identifiant interne d’exploitation agricole*]=A103,[3. Superficie de l’unité agricole (ha)*])),"!","-"))</f>
        <v>!</v>
      </c>
      <c r="J103" s="178" t="str">
        <f>IFERROR(CONCATENATE(VLOOKUP(A103,GM_Table,12,FALSE)," ",(VLOOKUP(A103,GM_Table,13,FALSE))),"")</f>
        <v/>
      </c>
    </row>
    <row r="104" spans="1:10">
      <c r="A104" s="189" t="s">
        <v>1067</v>
      </c>
      <c r="B104" s="189" t="s">
        <v>1067</v>
      </c>
      <c r="C104" s="191">
        <v>1.6218999999999999</v>
      </c>
      <c r="D104" s="200" t="s">
        <v>2058</v>
      </c>
      <c r="E104" s="200" t="s">
        <v>2059</v>
      </c>
      <c r="F104" s="177" t="b">
        <f>IF(ISBLANK(FarmUnit[[#This Row],[1. Identifiant interne d’exploitation agricole*]]),"",IF(ISERROR(MATCH(FarmUnit[[#This Row],[1. Identifiant interne d’exploitation agricole*]],GroupMember[1. Identifiant interne d’exploitation agricole*],0)),FALSE,TRUE))</f>
        <v>1</v>
      </c>
      <c r="G104" s="192" t="str">
        <f t="shared" si="5"/>
        <v>7.0019</v>
      </c>
      <c r="H104" s="192" t="str">
        <f t="shared" si="6"/>
        <v>-7.7814</v>
      </c>
      <c r="I104" s="193" t="str">
        <f t="array" ref="I104">IF(ISBLANK(C104),"",IF(C104=MAX(IF([1. Identifiant interne d’exploitation agricole*]=A104,[3. Superficie de l’unité agricole (ha)*])),"!","-"))</f>
        <v>!</v>
      </c>
      <c r="J104" s="178" t="str">
        <f>IFERROR(CONCATENATE(VLOOKUP(A104,GM_Table,12,FALSE)," ",(VLOOKUP(A104,GM_Table,13,FALSE))),"")</f>
        <v/>
      </c>
    </row>
    <row r="105" spans="1:10">
      <c r="A105" s="189" t="s">
        <v>1070</v>
      </c>
      <c r="B105" s="189" t="s">
        <v>1070</v>
      </c>
      <c r="C105" s="191">
        <v>3.1156999999999999</v>
      </c>
      <c r="D105" s="200" t="s">
        <v>2060</v>
      </c>
      <c r="E105" s="200" t="s">
        <v>2061</v>
      </c>
      <c r="F105" s="177" t="b">
        <f>IF(ISBLANK(FarmUnit[[#This Row],[1. Identifiant interne d’exploitation agricole*]]),"",IF(ISERROR(MATCH(FarmUnit[[#This Row],[1. Identifiant interne d’exploitation agricole*]],GroupMember[1. Identifiant interne d’exploitation agricole*],0)),FALSE,TRUE))</f>
        <v>1</v>
      </c>
      <c r="G105" s="192" t="str">
        <f t="shared" si="5"/>
        <v>7.02488</v>
      </c>
      <c r="H105" s="192" t="str">
        <f t="shared" si="6"/>
        <v>-7.91513</v>
      </c>
      <c r="I105" s="193" t="str">
        <f t="array" ref="I105">IF(ISBLANK(C105),"",IF(C105=MAX(IF([1. Identifiant interne d’exploitation agricole*]=A105,[3. Superficie de l’unité agricole (ha)*])),"!","-"))</f>
        <v>!</v>
      </c>
      <c r="J105" s="178" t="str">
        <f>IFERROR(CONCATENATE(VLOOKUP(A105,GM_Table,12,FALSE)," ",(VLOOKUP(A105,GM_Table,13,FALSE))),"")</f>
        <v/>
      </c>
    </row>
    <row r="106" spans="1:10">
      <c r="A106" s="189" t="s">
        <v>1073</v>
      </c>
      <c r="B106" s="189" t="s">
        <v>1073</v>
      </c>
      <c r="C106" s="191">
        <v>3.5859000000000001</v>
      </c>
      <c r="D106" s="200" t="s">
        <v>2062</v>
      </c>
      <c r="E106" s="200" t="s">
        <v>2063</v>
      </c>
      <c r="F106" s="177" t="b">
        <f>IF(ISBLANK(FarmUnit[[#This Row],[1. Identifiant interne d’exploitation agricole*]]),"",IF(ISERROR(MATCH(FarmUnit[[#This Row],[1. Identifiant interne d’exploitation agricole*]],GroupMember[1. Identifiant interne d’exploitation agricole*],0)),FALSE,TRUE))</f>
        <v>1</v>
      </c>
      <c r="G106" s="192" t="str">
        <f t="shared" si="5"/>
        <v>7.0334</v>
      </c>
      <c r="H106" s="192" t="str">
        <f t="shared" si="6"/>
        <v>-7.7233</v>
      </c>
      <c r="I106" s="193" t="str">
        <f t="array" ref="I106">IF(ISBLANK(C106),"",IF(C106=MAX(IF([1. Identifiant interne d’exploitation agricole*]=A106,[3. Superficie de l’unité agricole (ha)*])),"!","-"))</f>
        <v>!</v>
      </c>
      <c r="J106" s="178" t="str">
        <f>IFERROR(CONCATENATE(VLOOKUP(A106,GM_Table,12,FALSE)," ",(VLOOKUP(A106,GM_Table,13,FALSE))),"")</f>
        <v/>
      </c>
    </row>
    <row r="107" spans="1:10">
      <c r="A107" s="189" t="s">
        <v>1076</v>
      </c>
      <c r="B107" s="190" t="s">
        <v>1076</v>
      </c>
      <c r="C107" s="191">
        <v>0.73419999999999996</v>
      </c>
      <c r="D107" s="200" t="s">
        <v>2064</v>
      </c>
      <c r="E107" s="200" t="s">
        <v>2065</v>
      </c>
      <c r="F107" s="177" t="b">
        <f>IF(ISBLANK(FarmUnit[[#This Row],[1. Identifiant interne d’exploitation agricole*]]),"",IF(ISERROR(MATCH(FarmUnit[[#This Row],[1. Identifiant interne d’exploitation agricole*]],GroupMember[1. Identifiant interne d’exploitation agricole*],0)),FALSE,TRUE))</f>
        <v>1</v>
      </c>
      <c r="G107" s="192" t="str">
        <f t="shared" si="5"/>
        <v>7.0219</v>
      </c>
      <c r="H107" s="192" t="str">
        <f t="shared" si="6"/>
        <v>-7.7312</v>
      </c>
      <c r="I107" s="193" t="str">
        <f t="array" ref="I107">IF(ISBLANK(C107),"",IF(C107=MAX(IF([1. Identifiant interne d’exploitation agricole*]=A107,[3. Superficie de l’unité agricole (ha)*])),"!","-"))</f>
        <v>!</v>
      </c>
      <c r="J107" s="178" t="str">
        <f>IFERROR(CONCATENATE(VLOOKUP(A107,GM_Table,12,FALSE)," ",(VLOOKUP(A107,GM_Table,13,FALSE))),"")</f>
        <v/>
      </c>
    </row>
    <row r="108" spans="1:10">
      <c r="A108" s="189" t="s">
        <v>1079</v>
      </c>
      <c r="B108" s="189" t="s">
        <v>1079</v>
      </c>
      <c r="C108" s="191">
        <v>4.6910999999999996</v>
      </c>
      <c r="D108" s="200" t="s">
        <v>2066</v>
      </c>
      <c r="E108" s="200" t="s">
        <v>2067</v>
      </c>
      <c r="F108" s="177" t="b">
        <f>IF(ISBLANK(FarmUnit[[#This Row],[1. Identifiant interne d’exploitation agricole*]]),"",IF(ISERROR(MATCH(FarmUnit[[#This Row],[1. Identifiant interne d’exploitation agricole*]],GroupMember[1. Identifiant interne d’exploitation agricole*],0)),FALSE,TRUE))</f>
        <v>1</v>
      </c>
      <c r="G108" s="192" t="str">
        <f t="shared" si="5"/>
        <v>6.91591</v>
      </c>
      <c r="H108" s="192" t="str">
        <f t="shared" si="6"/>
        <v>-7.80699</v>
      </c>
      <c r="I108" s="193" t="str">
        <f t="array" ref="I108">IF(ISBLANK(C108),"",IF(C108=MAX(IF([1. Identifiant interne d’exploitation agricole*]=A108,[3. Superficie de l’unité agricole (ha)*])),"!","-"))</f>
        <v>!</v>
      </c>
      <c r="J108" s="178" t="str">
        <f>IFERROR(CONCATENATE(VLOOKUP(A108,GM_Table,12,FALSE)," ",(VLOOKUP(A108,GM_Table,13,FALSE))),"")</f>
        <v/>
      </c>
    </row>
    <row r="109" spans="1:10">
      <c r="A109" s="189" t="s">
        <v>1082</v>
      </c>
      <c r="B109" s="189" t="s">
        <v>1082</v>
      </c>
      <c r="C109" s="191">
        <v>5.1916000000000002</v>
      </c>
      <c r="D109" s="200" t="s">
        <v>2068</v>
      </c>
      <c r="E109" s="200" t="s">
        <v>2069</v>
      </c>
      <c r="F109" s="177" t="b">
        <f>IF(ISBLANK(FarmUnit[[#This Row],[1. Identifiant interne d’exploitation agricole*]]),"",IF(ISERROR(MATCH(FarmUnit[[#This Row],[1. Identifiant interne d’exploitation agricole*]],GroupMember[1. Identifiant interne d’exploitation agricole*],0)),FALSE,TRUE))</f>
        <v>1</v>
      </c>
      <c r="G109" s="192" t="str">
        <f t="shared" si="5"/>
        <v>7.0457</v>
      </c>
      <c r="H109" s="192" t="str">
        <f t="shared" si="6"/>
        <v>-7.7669</v>
      </c>
      <c r="I109" s="193" t="str">
        <f t="array" ref="I109">IF(ISBLANK(C109),"",IF(C109=MAX(IF([1. Identifiant interne d’exploitation agricole*]=A109,[3. Superficie de l’unité agricole (ha)*])),"!","-"))</f>
        <v>!</v>
      </c>
      <c r="J109" s="178" t="str">
        <f>IFERROR(CONCATENATE(VLOOKUP(A109,GM_Table,12,FALSE)," ",(VLOOKUP(A109,GM_Table,13,FALSE))),"")</f>
        <v/>
      </c>
    </row>
    <row r="110" spans="1:10">
      <c r="A110" s="189" t="s">
        <v>1085</v>
      </c>
      <c r="B110" s="190" t="s">
        <v>1085</v>
      </c>
      <c r="C110" s="191">
        <v>1.8348</v>
      </c>
      <c r="D110" s="200" t="s">
        <v>2070</v>
      </c>
      <c r="E110" s="200" t="s">
        <v>2071</v>
      </c>
      <c r="F110" s="177" t="b">
        <f>IF(ISBLANK(FarmUnit[[#This Row],[1. Identifiant interne d’exploitation agricole*]]),"",IF(ISERROR(MATCH(FarmUnit[[#This Row],[1. Identifiant interne d’exploitation agricole*]],GroupMember[1. Identifiant interne d’exploitation agricole*],0)),FALSE,TRUE))</f>
        <v>1</v>
      </c>
      <c r="G110" s="192" t="str">
        <f t="shared" si="5"/>
        <v>7.0438</v>
      </c>
      <c r="H110" s="192" t="str">
        <f t="shared" si="6"/>
        <v>-7.7657</v>
      </c>
      <c r="I110" s="193" t="str">
        <f t="array" ref="I110">IF(ISBLANK(C110),"",IF(C110=MAX(IF([1. Identifiant interne d’exploitation agricole*]=A110,[3. Superficie de l’unité agricole (ha)*])),"!","-"))</f>
        <v>!</v>
      </c>
      <c r="J110" s="178" t="str">
        <f>IFERROR(CONCATENATE(VLOOKUP(A110,GM_Table,12,FALSE)," ",(VLOOKUP(A110,GM_Table,13,FALSE))),"")</f>
        <v/>
      </c>
    </row>
    <row r="111" spans="1:10">
      <c r="A111" s="189" t="s">
        <v>1088</v>
      </c>
      <c r="B111" s="189" t="s">
        <v>1088</v>
      </c>
      <c r="C111" s="191">
        <v>4.2732000000000001</v>
      </c>
      <c r="D111" s="200" t="s">
        <v>2072</v>
      </c>
      <c r="E111" s="200" t="s">
        <v>2073</v>
      </c>
      <c r="F111" s="177" t="b">
        <f>IF(ISBLANK(FarmUnit[[#This Row],[1. Identifiant interne d’exploitation agricole*]]),"",IF(ISERROR(MATCH(FarmUnit[[#This Row],[1. Identifiant interne d’exploitation agricole*]],GroupMember[1. Identifiant interne d’exploitation agricole*],0)),FALSE,TRUE))</f>
        <v>1</v>
      </c>
      <c r="G111" s="192" t="str">
        <f t="shared" si="5"/>
        <v>7.0224</v>
      </c>
      <c r="H111" s="192" t="str">
        <f t="shared" si="6"/>
        <v>-7.7858</v>
      </c>
      <c r="I111" s="193" t="str">
        <f t="array" ref="I111">IF(ISBLANK(C111),"",IF(C111=MAX(IF([1. Identifiant interne d’exploitation agricole*]=A111,[3. Superficie de l’unité agricole (ha)*])),"!","-"))</f>
        <v>!</v>
      </c>
      <c r="J111" s="178" t="str">
        <f>IFERROR(CONCATENATE(VLOOKUP(A111,GM_Table,12,FALSE)," ",(VLOOKUP(A111,GM_Table,13,FALSE))),"")</f>
        <v/>
      </c>
    </row>
    <row r="112" spans="1:10">
      <c r="A112" s="189" t="s">
        <v>1091</v>
      </c>
      <c r="B112" s="190" t="s">
        <v>1091</v>
      </c>
      <c r="C112" s="191">
        <v>1.6060000000000001</v>
      </c>
      <c r="D112" s="200" t="s">
        <v>2074</v>
      </c>
      <c r="E112" s="200" t="s">
        <v>2075</v>
      </c>
      <c r="F112" s="177" t="b">
        <f>IF(ISBLANK(FarmUnit[[#This Row],[1. Identifiant interne d’exploitation agricole*]]),"",IF(ISERROR(MATCH(FarmUnit[[#This Row],[1. Identifiant interne d’exploitation agricole*]],GroupMember[1. Identifiant interne d’exploitation agricole*],0)),FALSE,TRUE))</f>
        <v>1</v>
      </c>
      <c r="G112" s="192" t="str">
        <f t="shared" si="5"/>
        <v>7.0689</v>
      </c>
      <c r="H112" s="192" t="str">
        <f t="shared" si="6"/>
        <v>-7.755</v>
      </c>
      <c r="I112" s="193" t="str">
        <f t="array" ref="I112">IF(ISBLANK(C112),"",IF(C112=MAX(IF([1. Identifiant interne d’exploitation agricole*]=A112,[3. Superficie de l’unité agricole (ha)*])),"!","-"))</f>
        <v>!</v>
      </c>
      <c r="J112" s="178" t="str">
        <f>IFERROR(CONCATENATE(VLOOKUP(A112,GM_Table,12,FALSE)," ",(VLOOKUP(A112,GM_Table,13,FALSE))),"")</f>
        <v/>
      </c>
    </row>
    <row r="113" spans="1:10">
      <c r="A113" s="189" t="s">
        <v>1093</v>
      </c>
      <c r="B113" s="190" t="s">
        <v>1093</v>
      </c>
      <c r="C113" s="191">
        <v>1.6537999999999999</v>
      </c>
      <c r="D113" s="200" t="s">
        <v>2076</v>
      </c>
      <c r="E113" s="200" t="s">
        <v>2077</v>
      </c>
      <c r="F113" s="177" t="b">
        <f>IF(ISBLANK(FarmUnit[[#This Row],[1. Identifiant interne d’exploitation agricole*]]),"",IF(ISERROR(MATCH(FarmUnit[[#This Row],[1. Identifiant interne d’exploitation agricole*]],GroupMember[1. Identifiant interne d’exploitation agricole*],0)),FALSE,TRUE))</f>
        <v>1</v>
      </c>
      <c r="G113" s="192" t="str">
        <f t="shared" si="5"/>
        <v>7.0777</v>
      </c>
      <c r="H113" s="192" t="str">
        <f t="shared" si="6"/>
        <v>-7.7667</v>
      </c>
      <c r="I113" s="193" t="str">
        <f t="array" ref="I113">IF(ISBLANK(C113),"",IF(C113=MAX(IF([1. Identifiant interne d’exploitation agricole*]=A113,[3. Superficie de l’unité agricole (ha)*])),"!","-"))</f>
        <v>!</v>
      </c>
      <c r="J113" s="178" t="str">
        <f>IFERROR(CONCATENATE(VLOOKUP(A113,GM_Table,12,FALSE)," ",(VLOOKUP(A113,GM_Table,13,FALSE))),"")</f>
        <v/>
      </c>
    </row>
    <row r="114" spans="1:10">
      <c r="A114" s="189" t="s">
        <v>1097</v>
      </c>
      <c r="B114" s="189" t="s">
        <v>1097</v>
      </c>
      <c r="C114" s="191">
        <v>4.5617000000000001</v>
      </c>
      <c r="D114" s="200" t="s">
        <v>2078</v>
      </c>
      <c r="E114" s="200" t="s">
        <v>2079</v>
      </c>
      <c r="F114" s="177" t="b">
        <f>IF(ISBLANK(FarmUnit[[#This Row],[1. Identifiant interne d’exploitation agricole*]]),"",IF(ISERROR(MATCH(FarmUnit[[#This Row],[1. Identifiant interne d’exploitation agricole*]],GroupMember[1. Identifiant interne d’exploitation agricole*],0)),FALSE,TRUE))</f>
        <v>1</v>
      </c>
      <c r="G114" s="192" t="str">
        <f t="shared" si="5"/>
        <v>7.0467</v>
      </c>
      <c r="H114" s="192" t="str">
        <f t="shared" si="6"/>
        <v>-7.7723</v>
      </c>
      <c r="I114" s="193" t="str">
        <f t="array" ref="I114">IF(ISBLANK(C114),"",IF(C114=MAX(IF([1. Identifiant interne d’exploitation agricole*]=A114,[3. Superficie de l’unité agricole (ha)*])),"!","-"))</f>
        <v>!</v>
      </c>
      <c r="J114" s="178" t="str">
        <f>IFERROR(CONCATENATE(VLOOKUP(A114,GM_Table,12,FALSE)," ",(VLOOKUP(A114,GM_Table,13,FALSE))),"")</f>
        <v/>
      </c>
    </row>
    <row r="115" spans="1:10">
      <c r="A115" s="189" t="s">
        <v>1101</v>
      </c>
      <c r="B115" s="190" t="s">
        <v>1101</v>
      </c>
      <c r="C115" s="191">
        <v>2.9447999999999999</v>
      </c>
      <c r="D115" s="200" t="s">
        <v>2080</v>
      </c>
      <c r="E115" s="200" t="s">
        <v>2081</v>
      </c>
      <c r="F115" s="177" t="b">
        <f>IF(ISBLANK(FarmUnit[[#This Row],[1. Identifiant interne d’exploitation agricole*]]),"",IF(ISERROR(MATCH(FarmUnit[[#This Row],[1. Identifiant interne d’exploitation agricole*]],GroupMember[1. Identifiant interne d’exploitation agricole*],0)),FALSE,TRUE))</f>
        <v>1</v>
      </c>
      <c r="G115" s="192" t="str">
        <f t="shared" si="5"/>
        <v>6.93798</v>
      </c>
      <c r="H115" s="192" t="str">
        <f t="shared" si="6"/>
        <v>-7.82038</v>
      </c>
      <c r="I115" s="193" t="str">
        <f t="array" ref="I115">IF(ISBLANK(C115),"",IF(C115=MAX(IF([1. Identifiant interne d’exploitation agricole*]=A115,[3. Superficie de l’unité agricole (ha)*])),"!","-"))</f>
        <v>!</v>
      </c>
      <c r="J115" s="178" t="str">
        <f>IFERROR(CONCATENATE(VLOOKUP(A115,GM_Table,12,FALSE)," ",(VLOOKUP(A115,GM_Table,13,FALSE))),"")</f>
        <v/>
      </c>
    </row>
    <row r="116" spans="1:10">
      <c r="A116" s="189" t="s">
        <v>1106</v>
      </c>
      <c r="B116" s="190" t="s">
        <v>1106</v>
      </c>
      <c r="C116" s="191">
        <v>2.5310999999999999</v>
      </c>
      <c r="D116" s="200" t="s">
        <v>2082</v>
      </c>
      <c r="E116" s="200" t="s">
        <v>2083</v>
      </c>
      <c r="F116" s="177" t="b">
        <f>IF(ISBLANK(FarmUnit[[#This Row],[1. Identifiant interne d’exploitation agricole*]]),"",IF(ISERROR(MATCH(FarmUnit[[#This Row],[1. Identifiant interne d’exploitation agricole*]],GroupMember[1. Identifiant interne d’exploitation agricole*],0)),FALSE,TRUE))</f>
        <v>1</v>
      </c>
      <c r="G116" s="192" t="str">
        <f t="shared" si="5"/>
        <v>7.0373</v>
      </c>
      <c r="H116" s="192" t="str">
        <f t="shared" si="6"/>
        <v>-7.7655</v>
      </c>
      <c r="I116" s="193" t="str">
        <f t="array" ref="I116">IF(ISBLANK(C116),"",IF(C116=MAX(IF([1. Identifiant interne d’exploitation agricole*]=A116,[3. Superficie de l’unité agricole (ha)*])),"!","-"))</f>
        <v>!</v>
      </c>
      <c r="J116" s="178" t="str">
        <f>IFERROR(CONCATENATE(VLOOKUP(A116,GM_Table,12,FALSE)," ",(VLOOKUP(A116,GM_Table,13,FALSE))),"")</f>
        <v/>
      </c>
    </row>
    <row r="117" spans="1:10">
      <c r="A117" s="189" t="s">
        <v>1109</v>
      </c>
      <c r="B117" s="190" t="s">
        <v>1109</v>
      </c>
      <c r="C117" s="191">
        <v>2.1053000000000002</v>
      </c>
      <c r="D117" s="200" t="s">
        <v>2084</v>
      </c>
      <c r="E117" s="200" t="s">
        <v>2085</v>
      </c>
      <c r="F117" s="177" t="b">
        <f>IF(ISBLANK(FarmUnit[[#This Row],[1. Identifiant interne d’exploitation agricole*]]),"",IF(ISERROR(MATCH(FarmUnit[[#This Row],[1. Identifiant interne d’exploitation agricole*]],GroupMember[1. Identifiant interne d’exploitation agricole*],0)),FALSE,TRUE))</f>
        <v>1</v>
      </c>
      <c r="G117" s="192" t="str">
        <f t="shared" si="5"/>
        <v>7.0349</v>
      </c>
      <c r="H117" s="192" t="str">
        <f t="shared" si="6"/>
        <v>-7.7659</v>
      </c>
      <c r="I117" s="193" t="str">
        <f t="array" ref="I117">IF(ISBLANK(C117),"",IF(C117=MAX(IF([1. Identifiant interne d’exploitation agricole*]=A117,[3. Superficie de l’unité agricole (ha)*])),"!","-"))</f>
        <v>!</v>
      </c>
      <c r="J117" s="178" t="str">
        <f>IFERROR(CONCATENATE(VLOOKUP(A117,GM_Table,12,FALSE)," ",(VLOOKUP(A117,GM_Table,13,FALSE))),"")</f>
        <v/>
      </c>
    </row>
    <row r="118" spans="1:10">
      <c r="A118" s="189" t="s">
        <v>1114</v>
      </c>
      <c r="B118" s="190" t="s">
        <v>1114</v>
      </c>
      <c r="C118" s="191">
        <v>1.6171</v>
      </c>
      <c r="D118" s="200" t="s">
        <v>2086</v>
      </c>
      <c r="E118" s="200" t="s">
        <v>2087</v>
      </c>
      <c r="F118" s="177" t="b">
        <f>IF(ISBLANK(FarmUnit[[#This Row],[1. Identifiant interne d’exploitation agricole*]]),"",IF(ISERROR(MATCH(FarmUnit[[#This Row],[1. Identifiant interne d’exploitation agricole*]],GroupMember[1. Identifiant interne d’exploitation agricole*],0)),FALSE,TRUE))</f>
        <v>1</v>
      </c>
      <c r="G118" s="192" t="str">
        <f t="shared" si="5"/>
        <v>7.0339</v>
      </c>
      <c r="H118" s="192" t="str">
        <f t="shared" si="6"/>
        <v>-7.7678</v>
      </c>
      <c r="I118" s="193" t="str">
        <f t="array" ref="I118">IF(ISBLANK(C118),"",IF(C118=MAX(IF([1. Identifiant interne d’exploitation agricole*]=A118,[3. Superficie de l’unité agricole (ha)*])),"!","-"))</f>
        <v>!</v>
      </c>
      <c r="J118" s="178" t="str">
        <f>IFERROR(CONCATENATE(VLOOKUP(A118,GM_Table,12,FALSE)," ",(VLOOKUP(A118,GM_Table,13,FALSE))),"")</f>
        <v/>
      </c>
    </row>
    <row r="119" spans="1:10">
      <c r="A119" s="189" t="s">
        <v>1116</v>
      </c>
      <c r="B119" s="190" t="s">
        <v>1116</v>
      </c>
      <c r="C119" s="191">
        <v>1.4787999999999999</v>
      </c>
      <c r="D119" s="200" t="s">
        <v>2088</v>
      </c>
      <c r="E119" s="200" t="s">
        <v>2089</v>
      </c>
      <c r="F119" s="177" t="b">
        <f>IF(ISBLANK(FarmUnit[[#This Row],[1. Identifiant interne d’exploitation agricole*]]),"",IF(ISERROR(MATCH(FarmUnit[[#This Row],[1. Identifiant interne d’exploitation agricole*]],GroupMember[1. Identifiant interne d’exploitation agricole*],0)),FALSE,TRUE))</f>
        <v>1</v>
      </c>
      <c r="G119" s="192" t="str">
        <f t="shared" si="5"/>
        <v>7.0377</v>
      </c>
      <c r="H119" s="192" t="str">
        <f t="shared" si="6"/>
        <v>-7.7741</v>
      </c>
      <c r="I119" s="193" t="str">
        <f t="array" ref="I119">IF(ISBLANK(C119),"",IF(C119=MAX(IF([1. Identifiant interne d’exploitation agricole*]=A119,[3. Superficie de l’unité agricole (ha)*])),"!","-"))</f>
        <v>!</v>
      </c>
      <c r="J119" s="178" t="str">
        <f>IFERROR(CONCATENATE(VLOOKUP(A119,GM_Table,12,FALSE)," ",(VLOOKUP(A119,GM_Table,13,FALSE))),"")</f>
        <v/>
      </c>
    </row>
    <row r="120" spans="1:10">
      <c r="A120" s="189" t="s">
        <v>1120</v>
      </c>
      <c r="B120" s="189" t="s">
        <v>1120</v>
      </c>
      <c r="C120" s="191">
        <v>2.7534999999999998</v>
      </c>
      <c r="D120" s="200" t="s">
        <v>2090</v>
      </c>
      <c r="E120" s="200" t="s">
        <v>2091</v>
      </c>
      <c r="F120" s="177" t="b">
        <f>IF(ISBLANK(FarmUnit[[#This Row],[1. Identifiant interne d’exploitation agricole*]]),"",IF(ISERROR(MATCH(FarmUnit[[#This Row],[1. Identifiant interne d’exploitation agricole*]],GroupMember[1. Identifiant interne d’exploitation agricole*],0)),FALSE,TRUE))</f>
        <v>1</v>
      </c>
      <c r="G120" s="192" t="str">
        <f t="shared" si="5"/>
        <v>6.91199</v>
      </c>
      <c r="H120" s="192" t="str">
        <f t="shared" si="6"/>
        <v>-7.82321</v>
      </c>
      <c r="I120" s="193" t="str">
        <f t="array" ref="I120">IF(ISBLANK(C120),"",IF(C120=MAX(IF([1. Identifiant interne d’exploitation agricole*]=A120,[3. Superficie de l’unité agricole (ha)*])),"!","-"))</f>
        <v>!</v>
      </c>
      <c r="J120" s="178" t="str">
        <f>IFERROR(CONCATENATE(VLOOKUP(A120,GM_Table,12,FALSE)," ",(VLOOKUP(A120,GM_Table,13,FALSE))),"")</f>
        <v/>
      </c>
    </row>
    <row r="121" spans="1:10">
      <c r="A121" s="189" t="s">
        <v>1123</v>
      </c>
      <c r="B121" s="190" t="s">
        <v>1123</v>
      </c>
      <c r="C121" s="191">
        <v>4.4279000000000002</v>
      </c>
      <c r="D121" s="200" t="s">
        <v>2092</v>
      </c>
      <c r="E121" s="200" t="s">
        <v>2093</v>
      </c>
      <c r="F121" s="177" t="b">
        <f>IF(ISBLANK(FarmUnit[[#This Row],[1. Identifiant interne d’exploitation agricole*]]),"",IF(ISERROR(MATCH(FarmUnit[[#This Row],[1. Identifiant interne d’exploitation agricole*]],GroupMember[1. Identifiant interne d’exploitation agricole*],0)),FALSE,TRUE))</f>
        <v>1</v>
      </c>
      <c r="G121" s="192" t="str">
        <f t="shared" si="5"/>
        <v>7.013</v>
      </c>
      <c r="H121" s="192" t="str">
        <f t="shared" si="6"/>
        <v>-7.7645</v>
      </c>
      <c r="I121" s="193" t="str">
        <f t="array" ref="I121">IF(ISBLANK(C121),"",IF(C121=MAX(IF([1. Identifiant interne d’exploitation agricole*]=A121,[3. Superficie de l’unité agricole (ha)*])),"!","-"))</f>
        <v>!</v>
      </c>
      <c r="J121" s="178" t="str">
        <f>IFERROR(CONCATENATE(VLOOKUP(A121,GM_Table,12,FALSE)," ",(VLOOKUP(A121,GM_Table,13,FALSE))),"")</f>
        <v/>
      </c>
    </row>
    <row r="122" spans="1:10">
      <c r="A122" s="189" t="s">
        <v>1127</v>
      </c>
      <c r="B122" s="189" t="s">
        <v>1127</v>
      </c>
      <c r="C122" s="191">
        <v>5.2076000000000002</v>
      </c>
      <c r="D122" s="200" t="s">
        <v>2094</v>
      </c>
      <c r="E122" s="200" t="s">
        <v>2095</v>
      </c>
      <c r="F122" s="177" t="b">
        <f>IF(ISBLANK(FarmUnit[[#This Row],[1. Identifiant interne d’exploitation agricole*]]),"",IF(ISERROR(MATCH(FarmUnit[[#This Row],[1. Identifiant interne d’exploitation agricole*]],GroupMember[1. Identifiant interne d’exploitation agricole*],0)),FALSE,TRUE))</f>
        <v>1</v>
      </c>
      <c r="G122" s="192" t="str">
        <f t="shared" si="5"/>
        <v>7.0482</v>
      </c>
      <c r="H122" s="192" t="str">
        <f t="shared" si="6"/>
        <v>-7.768</v>
      </c>
      <c r="I122" s="193" t="str">
        <f t="array" ref="I122">IF(ISBLANK(C122),"",IF(C122=MAX(IF([1. Identifiant interne d’exploitation agricole*]=A122,[3. Superficie de l’unité agricole (ha)*])),"!","-"))</f>
        <v>!</v>
      </c>
      <c r="J122" s="178" t="str">
        <f>IFERROR(CONCATENATE(VLOOKUP(A122,GM_Table,12,FALSE)," ",(VLOOKUP(A122,GM_Table,13,FALSE))),"")</f>
        <v/>
      </c>
    </row>
    <row r="123" spans="1:10">
      <c r="A123" s="189" t="s">
        <v>1131</v>
      </c>
      <c r="B123" s="190" t="s">
        <v>1131</v>
      </c>
      <c r="C123" s="191">
        <v>1.6747000000000001</v>
      </c>
      <c r="D123" s="200" t="s">
        <v>2096</v>
      </c>
      <c r="E123" s="200" t="s">
        <v>2097</v>
      </c>
      <c r="F123" s="177" t="b">
        <f>IF(ISBLANK(FarmUnit[[#This Row],[1. Identifiant interne d’exploitation agricole*]]),"",IF(ISERROR(MATCH(FarmUnit[[#This Row],[1. Identifiant interne d’exploitation agricole*]],GroupMember[1. Identifiant interne d’exploitation agricole*],0)),FALSE,TRUE))</f>
        <v>1</v>
      </c>
      <c r="G123" s="192" t="str">
        <f t="shared" si="5"/>
        <v>7.0172</v>
      </c>
      <c r="H123" s="192" t="str">
        <f t="shared" si="6"/>
        <v>-7.7642</v>
      </c>
      <c r="I123" s="193" t="str">
        <f t="array" ref="I123">IF(ISBLANK(C123),"",IF(C123=MAX(IF([1. Identifiant interne d’exploitation agricole*]=A123,[3. Superficie de l’unité agricole (ha)*])),"!","-"))</f>
        <v>!</v>
      </c>
      <c r="J123" s="178" t="str">
        <f>IFERROR(CONCATENATE(VLOOKUP(A123,GM_Table,12,FALSE)," ",(VLOOKUP(A123,GM_Table,13,FALSE))),"")</f>
        <v/>
      </c>
    </row>
    <row r="124" spans="1:10">
      <c r="A124" s="189" t="s">
        <v>1136</v>
      </c>
      <c r="B124" s="190" t="s">
        <v>1136</v>
      </c>
      <c r="C124" s="191">
        <v>1.3675999999999999</v>
      </c>
      <c r="D124" s="200" t="s">
        <v>2098</v>
      </c>
      <c r="E124" s="200" t="s">
        <v>2099</v>
      </c>
      <c r="F124" s="177" t="b">
        <f>IF(ISBLANK(FarmUnit[[#This Row],[1. Identifiant interne d’exploitation agricole*]]),"",IF(ISERROR(MATCH(FarmUnit[[#This Row],[1. Identifiant interne d’exploitation agricole*]],GroupMember[1. Identifiant interne d’exploitation agricole*],0)),FALSE,TRUE))</f>
        <v>1</v>
      </c>
      <c r="G124" s="192" t="str">
        <f t="shared" si="5"/>
        <v>7.0501</v>
      </c>
      <c r="H124" s="192" t="str">
        <f t="shared" si="6"/>
        <v>-7.7701</v>
      </c>
      <c r="I124" s="193" t="str">
        <f t="array" ref="I124">IF(ISBLANK(C124),"",IF(C124=MAX(IF([1. Identifiant interne d’exploitation agricole*]=A124,[3. Superficie de l’unité agricole (ha)*])),"!","-"))</f>
        <v>!</v>
      </c>
      <c r="J124" s="178" t="str">
        <f>IFERROR(CONCATENATE(VLOOKUP(A124,GM_Table,12,FALSE)," ",(VLOOKUP(A124,GM_Table,13,FALSE))),"")</f>
        <v/>
      </c>
    </row>
    <row r="125" spans="1:10">
      <c r="A125" s="189" t="s">
        <v>1140</v>
      </c>
      <c r="B125" s="190" t="s">
        <v>1140</v>
      </c>
      <c r="C125" s="191">
        <v>1.9374</v>
      </c>
      <c r="D125" s="200" t="s">
        <v>2100</v>
      </c>
      <c r="E125" s="200" t="s">
        <v>2101</v>
      </c>
      <c r="F125" s="177" t="b">
        <f>IF(ISBLANK(FarmUnit[[#This Row],[1. Identifiant interne d’exploitation agricole*]]),"",IF(ISERROR(MATCH(FarmUnit[[#This Row],[1. Identifiant interne d’exploitation agricole*]],GroupMember[1. Identifiant interne d’exploitation agricole*],0)),FALSE,TRUE))</f>
        <v>1</v>
      </c>
      <c r="G125" s="192" t="str">
        <f t="shared" si="5"/>
        <v>7.0379</v>
      </c>
      <c r="H125" s="192" t="str">
        <f t="shared" si="6"/>
        <v>-7.7758</v>
      </c>
      <c r="I125" s="193" t="str">
        <f t="array" ref="I125">IF(ISBLANK(C125),"",IF(C125=MAX(IF([1. Identifiant interne d’exploitation agricole*]=A125,[3. Superficie de l’unité agricole (ha)*])),"!","-"))</f>
        <v>!</v>
      </c>
      <c r="J125" s="178" t="str">
        <f>IFERROR(CONCATENATE(VLOOKUP(A125,GM_Table,12,FALSE)," ",(VLOOKUP(A125,GM_Table,13,FALSE))),"")</f>
        <v/>
      </c>
    </row>
    <row r="126" spans="1:10">
      <c r="A126" s="189" t="s">
        <v>1143</v>
      </c>
      <c r="B126" s="189" t="s">
        <v>1143</v>
      </c>
      <c r="C126" s="191">
        <v>6.4448999999999996</v>
      </c>
      <c r="D126" s="200" t="s">
        <v>2102</v>
      </c>
      <c r="E126" s="200" t="s">
        <v>2103</v>
      </c>
      <c r="F126" s="177" t="b">
        <f>IF(ISBLANK(FarmUnit[[#This Row],[1. Identifiant interne d’exploitation agricole*]]),"",IF(ISERROR(MATCH(FarmUnit[[#This Row],[1. Identifiant interne d’exploitation agricole*]],GroupMember[1. Identifiant interne d’exploitation agricole*],0)),FALSE,TRUE))</f>
        <v>1</v>
      </c>
      <c r="G126" s="192" t="str">
        <f t="shared" si="5"/>
        <v>7.052</v>
      </c>
      <c r="H126" s="192" t="str">
        <f t="shared" si="6"/>
        <v>-7.764</v>
      </c>
      <c r="I126" s="193" t="str">
        <f t="array" ref="I126">IF(ISBLANK(C126),"",IF(C126=MAX(IF([1. Identifiant interne d’exploitation agricole*]=A126,[3. Superficie de l’unité agricole (ha)*])),"!","-"))</f>
        <v>!</v>
      </c>
      <c r="J126" s="178" t="str">
        <f>IFERROR(CONCATENATE(VLOOKUP(A126,GM_Table,12,FALSE)," ",(VLOOKUP(A126,GM_Table,13,FALSE))),"")</f>
        <v/>
      </c>
    </row>
    <row r="127" spans="1:10">
      <c r="A127" s="189" t="s">
        <v>1148</v>
      </c>
      <c r="B127" s="189" t="s">
        <v>1148</v>
      </c>
      <c r="C127" s="191">
        <v>2.7589999999999999</v>
      </c>
      <c r="D127" s="200" t="s">
        <v>2104</v>
      </c>
      <c r="E127" s="200" t="s">
        <v>2105</v>
      </c>
      <c r="F127" s="177" t="b">
        <f>IF(ISBLANK(FarmUnit[[#This Row],[1. Identifiant interne d’exploitation agricole*]]),"",IF(ISERROR(MATCH(FarmUnit[[#This Row],[1. Identifiant interne d’exploitation agricole*]],GroupMember[1. Identifiant interne d’exploitation agricole*],0)),FALSE,TRUE))</f>
        <v>1</v>
      </c>
      <c r="G127" s="192" t="str">
        <f t="shared" si="5"/>
        <v>7.0413</v>
      </c>
      <c r="H127" s="192" t="str">
        <f t="shared" si="6"/>
        <v>-7.763</v>
      </c>
      <c r="I127" s="193" t="str">
        <f t="array" ref="I127">IF(ISBLANK(C127),"",IF(C127=MAX(IF([1. Identifiant interne d’exploitation agricole*]=A127,[3. Superficie de l’unité agricole (ha)*])),"!","-"))</f>
        <v>!</v>
      </c>
      <c r="J127" s="178" t="str">
        <f>IFERROR(CONCATENATE(VLOOKUP(A127,GM_Table,12,FALSE)," ",(VLOOKUP(A127,GM_Table,13,FALSE))),"")</f>
        <v/>
      </c>
    </row>
    <row r="128" spans="1:10">
      <c r="A128" s="189" t="s">
        <v>1152</v>
      </c>
      <c r="B128" s="190" t="s">
        <v>1152</v>
      </c>
      <c r="C128" s="191">
        <v>0.96819999999999995</v>
      </c>
      <c r="D128" s="200" t="s">
        <v>2106</v>
      </c>
      <c r="E128" s="200" t="s">
        <v>2107</v>
      </c>
      <c r="F128" s="177" t="b">
        <f>IF(ISBLANK(FarmUnit[[#This Row],[1. Identifiant interne d’exploitation agricole*]]),"",IF(ISERROR(MATCH(FarmUnit[[#This Row],[1. Identifiant interne d’exploitation agricole*]],GroupMember[1. Identifiant interne d’exploitation agricole*],0)),FALSE,TRUE))</f>
        <v>1</v>
      </c>
      <c r="G128" s="192" t="str">
        <f t="shared" ref="G128:G182" si="7">IF(D128=0,"",D128)</f>
        <v>7.0233</v>
      </c>
      <c r="H128" s="192" t="str">
        <f t="shared" ref="H128:H182" si="8">IF(E128=0,"",E128)</f>
        <v>-7.7832</v>
      </c>
      <c r="I128" s="193" t="str">
        <f t="array" ref="I128">IF(ISBLANK(C128),"",IF(C128=MAX(IF([1. Identifiant interne d’exploitation agricole*]=A128,[3. Superficie de l’unité agricole (ha)*])),"!","-"))</f>
        <v>!</v>
      </c>
      <c r="J128" s="178" t="str">
        <f>IFERROR(CONCATENATE(VLOOKUP(A128,GM_Table,12,FALSE)," ",(VLOOKUP(A128,GM_Table,13,FALSE))),"")</f>
        <v/>
      </c>
    </row>
    <row r="129" spans="1:10">
      <c r="A129" s="189" t="s">
        <v>1155</v>
      </c>
      <c r="B129" s="190" t="s">
        <v>1155</v>
      </c>
      <c r="C129" s="191">
        <v>2.5897999999999999</v>
      </c>
      <c r="D129" s="200" t="s">
        <v>2108</v>
      </c>
      <c r="E129" s="200" t="s">
        <v>2109</v>
      </c>
      <c r="F129" s="177" t="b">
        <f>IF(ISBLANK(FarmUnit[[#This Row],[1. Identifiant interne d’exploitation agricole*]]),"",IF(ISERROR(MATCH(FarmUnit[[#This Row],[1. Identifiant interne d’exploitation agricole*]],GroupMember[1. Identifiant interne d’exploitation agricole*],0)),FALSE,TRUE))</f>
        <v>1</v>
      </c>
      <c r="G129" s="192" t="str">
        <f t="shared" si="7"/>
        <v>6.9321</v>
      </c>
      <c r="H129" s="192" t="str">
        <f t="shared" si="8"/>
        <v>-7.77789</v>
      </c>
      <c r="I129" s="193" t="str">
        <f t="array" ref="I129">IF(ISBLANK(C129),"",IF(C129=MAX(IF([1. Identifiant interne d’exploitation agricole*]=A129,[3. Superficie de l’unité agricole (ha)*])),"!","-"))</f>
        <v>!</v>
      </c>
      <c r="J129" s="178" t="str">
        <f>IFERROR(CONCATENATE(VLOOKUP(A129,GM_Table,12,FALSE)," ",(VLOOKUP(A129,GM_Table,13,FALSE))),"")</f>
        <v/>
      </c>
    </row>
    <row r="130" spans="1:10">
      <c r="A130" s="189" t="s">
        <v>1159</v>
      </c>
      <c r="B130" s="190" t="s">
        <v>1159</v>
      </c>
      <c r="C130" s="191">
        <v>1.9420999999999999</v>
      </c>
      <c r="D130" s="200" t="s">
        <v>2110</v>
      </c>
      <c r="E130" s="200" t="s">
        <v>2111</v>
      </c>
      <c r="F130" s="177" t="b">
        <f>IF(ISBLANK(FarmUnit[[#This Row],[1. Identifiant interne d’exploitation agricole*]]),"",IF(ISERROR(MATCH(FarmUnit[[#This Row],[1. Identifiant interne d’exploitation agricole*]],GroupMember[1. Identifiant interne d’exploitation agricole*],0)),FALSE,TRUE))</f>
        <v>1</v>
      </c>
      <c r="G130" s="192" t="str">
        <f t="shared" si="7"/>
        <v>7.0492</v>
      </c>
      <c r="H130" s="192" t="str">
        <f t="shared" si="8"/>
        <v>-7.8104</v>
      </c>
      <c r="I130" s="193" t="str">
        <f t="array" ref="I130">IF(ISBLANK(C130),"",IF(C130=MAX(IF([1. Identifiant interne d’exploitation agricole*]=A130,[3. Superficie de l’unité agricole (ha)*])),"!","-"))</f>
        <v>!</v>
      </c>
      <c r="J130" s="178" t="str">
        <f>IFERROR(CONCATENATE(VLOOKUP(A130,GM_Table,12,FALSE)," ",(VLOOKUP(A130,GM_Table,13,FALSE))),"")</f>
        <v/>
      </c>
    </row>
    <row r="131" spans="1:10">
      <c r="A131" s="189" t="s">
        <v>1161</v>
      </c>
      <c r="B131" s="190" t="s">
        <v>1161</v>
      </c>
      <c r="C131" s="191">
        <v>1.7995000000000001</v>
      </c>
      <c r="D131" s="200" t="s">
        <v>2112</v>
      </c>
      <c r="E131" s="200" t="s">
        <v>2113</v>
      </c>
      <c r="F131" s="177" t="b">
        <f>IF(ISBLANK(FarmUnit[[#This Row],[1. Identifiant interne d’exploitation agricole*]]),"",IF(ISERROR(MATCH(FarmUnit[[#This Row],[1. Identifiant interne d’exploitation agricole*]],GroupMember[1. Identifiant interne d’exploitation agricole*],0)),FALSE,TRUE))</f>
        <v>1</v>
      </c>
      <c r="G131" s="192" t="str">
        <f t="shared" si="7"/>
        <v>7.0396</v>
      </c>
      <c r="H131" s="192" t="str">
        <f t="shared" si="8"/>
        <v>-7.7653</v>
      </c>
      <c r="I131" s="193" t="str">
        <f t="array" ref="I131">IF(ISBLANK(C131),"",IF(C131=MAX(IF([1. Identifiant interne d’exploitation agricole*]=A131,[3. Superficie de l’unité agricole (ha)*])),"!","-"))</f>
        <v>!</v>
      </c>
      <c r="J131" s="178" t="str">
        <f>IFERROR(CONCATENATE(VLOOKUP(A131,GM_Table,12,FALSE)," ",(VLOOKUP(A131,GM_Table,13,FALSE))),"")</f>
        <v/>
      </c>
    </row>
    <row r="132" spans="1:10">
      <c r="A132" s="189" t="s">
        <v>1164</v>
      </c>
      <c r="B132" s="190" t="s">
        <v>1164</v>
      </c>
      <c r="C132" s="191">
        <v>1.0013000000000001</v>
      </c>
      <c r="D132" s="200" t="s">
        <v>2114</v>
      </c>
      <c r="E132" s="200" t="s">
        <v>2115</v>
      </c>
      <c r="F132" s="177" t="b">
        <f>IF(ISBLANK(FarmUnit[[#This Row],[1. Identifiant interne d’exploitation agricole*]]),"",IF(ISERROR(MATCH(FarmUnit[[#This Row],[1. Identifiant interne d’exploitation agricole*]],GroupMember[1. Identifiant interne d’exploitation agricole*],0)),FALSE,TRUE))</f>
        <v>1</v>
      </c>
      <c r="G132" s="192" t="str">
        <f t="shared" si="7"/>
        <v>7.0401</v>
      </c>
      <c r="H132" s="192" t="str">
        <f t="shared" si="8"/>
        <v>-7.7859</v>
      </c>
      <c r="I132" s="193" t="str">
        <f t="array" ref="I132">IF(ISBLANK(C132),"",IF(C132=MAX(IF([1. Identifiant interne d’exploitation agricole*]=A132,[3. Superficie de l’unité agricole (ha)*])),"!","-"))</f>
        <v>!</v>
      </c>
      <c r="J132" s="178" t="str">
        <f>IFERROR(CONCATENATE(VLOOKUP(A132,GM_Table,12,FALSE)," ",(VLOOKUP(A132,GM_Table,13,FALSE))),"")</f>
        <v/>
      </c>
    </row>
    <row r="133" spans="1:10">
      <c r="A133" s="189" t="s">
        <v>1168</v>
      </c>
      <c r="B133" s="190" t="s">
        <v>1168</v>
      </c>
      <c r="C133" s="191">
        <v>2.3774999999999999</v>
      </c>
      <c r="D133" s="200" t="s">
        <v>2116</v>
      </c>
      <c r="E133" s="200" t="s">
        <v>2117</v>
      </c>
      <c r="F133" s="177" t="b">
        <f>IF(ISBLANK(FarmUnit[[#This Row],[1. Identifiant interne d’exploitation agricole*]]),"",IF(ISERROR(MATCH(FarmUnit[[#This Row],[1. Identifiant interne d’exploitation agricole*]],GroupMember[1. Identifiant interne d’exploitation agricole*],0)),FALSE,TRUE))</f>
        <v>1</v>
      </c>
      <c r="G133" s="192" t="str">
        <f t="shared" si="7"/>
        <v>7.0109</v>
      </c>
      <c r="H133" s="192" t="str">
        <f t="shared" si="8"/>
        <v>-7.7888</v>
      </c>
      <c r="I133" s="193" t="str">
        <f t="array" ref="I133">IF(ISBLANK(C133),"",IF(C133=MAX(IF([1. Identifiant interne d’exploitation agricole*]=A133,[3. Superficie de l’unité agricole (ha)*])),"!","-"))</f>
        <v>!</v>
      </c>
      <c r="J133" s="178" t="str">
        <f>IFERROR(CONCATENATE(VLOOKUP(A133,GM_Table,12,FALSE)," ",(VLOOKUP(A133,GM_Table,13,FALSE))),"")</f>
        <v/>
      </c>
    </row>
    <row r="134" spans="1:10">
      <c r="A134" s="189" t="s">
        <v>1172</v>
      </c>
      <c r="B134" s="190" t="s">
        <v>1172</v>
      </c>
      <c r="C134" s="191">
        <v>1.6841999999999999</v>
      </c>
      <c r="D134" s="200" t="s">
        <v>2118</v>
      </c>
      <c r="E134" s="200" t="s">
        <v>2119</v>
      </c>
      <c r="F134" s="177" t="b">
        <f>IF(ISBLANK(FarmUnit[[#This Row],[1. Identifiant interne d’exploitation agricole*]]),"",IF(ISERROR(MATCH(FarmUnit[[#This Row],[1. Identifiant interne d’exploitation agricole*]],GroupMember[1. Identifiant interne d’exploitation agricole*],0)),FALSE,TRUE))</f>
        <v>1</v>
      </c>
      <c r="G134" s="192" t="str">
        <f t="shared" si="7"/>
        <v>7.0729</v>
      </c>
      <c r="H134" s="192" t="str">
        <f t="shared" si="8"/>
        <v>-7.7404</v>
      </c>
      <c r="I134" s="193" t="str">
        <f t="array" ref="I134">IF(ISBLANK(C134),"",IF(C134=MAX(IF([1. Identifiant interne d’exploitation agricole*]=A134,[3. Superficie de l’unité agricole (ha)*])),"!","-"))</f>
        <v>!</v>
      </c>
      <c r="J134" s="178" t="str">
        <f>IFERROR(CONCATENATE(VLOOKUP(A134,GM_Table,12,FALSE)," ",(VLOOKUP(A134,GM_Table,13,FALSE))),"")</f>
        <v/>
      </c>
    </row>
    <row r="135" spans="1:10">
      <c r="A135" s="189" t="s">
        <v>1176</v>
      </c>
      <c r="B135" s="190" t="s">
        <v>1176</v>
      </c>
      <c r="C135" s="191">
        <v>5.2316000000000003</v>
      </c>
      <c r="D135" s="200" t="s">
        <v>2120</v>
      </c>
      <c r="E135" s="200" t="s">
        <v>2121</v>
      </c>
      <c r="F135" s="177" t="b">
        <f>IF(ISBLANK(FarmUnit[[#This Row],[1. Identifiant interne d’exploitation agricole*]]),"",IF(ISERROR(MATCH(FarmUnit[[#This Row],[1. Identifiant interne d’exploitation agricole*]],GroupMember[1. Identifiant interne d’exploitation agricole*],0)),FALSE,TRUE))</f>
        <v>1</v>
      </c>
      <c r="G135" s="192" t="str">
        <f t="shared" si="7"/>
        <v>7.079</v>
      </c>
      <c r="H135" s="192" t="str">
        <f t="shared" si="8"/>
        <v>-7.7756</v>
      </c>
      <c r="I135" s="193" t="str">
        <f t="array" ref="I135">IF(ISBLANK(C135),"",IF(C135=MAX(IF([1. Identifiant interne d’exploitation agricole*]=A135,[3. Superficie de l’unité agricole (ha)*])),"!","-"))</f>
        <v>!</v>
      </c>
      <c r="J135" s="178" t="str">
        <f>IFERROR(CONCATENATE(VLOOKUP(A135,GM_Table,12,FALSE)," ",(VLOOKUP(A135,GM_Table,13,FALSE))),"")</f>
        <v/>
      </c>
    </row>
    <row r="136" spans="1:10">
      <c r="A136" s="189" t="s">
        <v>1181</v>
      </c>
      <c r="B136" s="190" t="s">
        <v>1181</v>
      </c>
      <c r="C136" s="191">
        <v>1.032</v>
      </c>
      <c r="D136" s="200" t="s">
        <v>2122</v>
      </c>
      <c r="E136" s="200" t="s">
        <v>2123</v>
      </c>
      <c r="F136" s="177" t="b">
        <f>IF(ISBLANK(FarmUnit[[#This Row],[1. Identifiant interne d’exploitation agricole*]]),"",IF(ISERROR(MATCH(FarmUnit[[#This Row],[1. Identifiant interne d’exploitation agricole*]],GroupMember[1. Identifiant interne d’exploitation agricole*],0)),FALSE,TRUE))</f>
        <v>1</v>
      </c>
      <c r="G136" s="192" t="str">
        <f t="shared" si="7"/>
        <v>7.049</v>
      </c>
      <c r="H136" s="192" t="str">
        <f t="shared" si="8"/>
        <v>-7.7867</v>
      </c>
      <c r="I136" s="193" t="str">
        <f t="array" ref="I136">IF(ISBLANK(C136),"",IF(C136=MAX(IF([1. Identifiant interne d’exploitation agricole*]=A136,[3. Superficie de l’unité agricole (ha)*])),"!","-"))</f>
        <v>!</v>
      </c>
      <c r="J136" s="178" t="str">
        <f>IFERROR(CONCATENATE(VLOOKUP(A136,GM_Table,12,FALSE)," ",(VLOOKUP(A136,GM_Table,13,FALSE))),"")</f>
        <v/>
      </c>
    </row>
    <row r="137" spans="1:10">
      <c r="A137" s="189" t="s">
        <v>1185</v>
      </c>
      <c r="B137" s="190" t="s">
        <v>1185</v>
      </c>
      <c r="C137" s="191">
        <v>1.8035000000000001</v>
      </c>
      <c r="D137" s="200" t="s">
        <v>2124</v>
      </c>
      <c r="E137" s="200" t="s">
        <v>2125</v>
      </c>
      <c r="F137" s="177" t="b">
        <f>IF(ISBLANK(FarmUnit[[#This Row],[1. Identifiant interne d’exploitation agricole*]]),"",IF(ISERROR(MATCH(FarmUnit[[#This Row],[1. Identifiant interne d’exploitation agricole*]],GroupMember[1. Identifiant interne d’exploitation agricole*],0)),FALSE,TRUE))</f>
        <v>1</v>
      </c>
      <c r="G137" s="192" t="str">
        <f t="shared" si="7"/>
        <v>7.0538</v>
      </c>
      <c r="H137" s="192" t="str">
        <f t="shared" si="8"/>
        <v>-7.765</v>
      </c>
      <c r="I137" s="193" t="str">
        <f t="array" ref="I137">IF(ISBLANK(C137),"",IF(C137=MAX(IF([1. Identifiant interne d’exploitation agricole*]=A137,[3. Superficie de l’unité agricole (ha)*])),"!","-"))</f>
        <v>!</v>
      </c>
      <c r="J137" s="178" t="str">
        <f>IFERROR(CONCATENATE(VLOOKUP(A137,GM_Table,12,FALSE)," ",(VLOOKUP(A137,GM_Table,13,FALSE))),"")</f>
        <v/>
      </c>
    </row>
    <row r="138" spans="1:10">
      <c r="A138" s="189" t="s">
        <v>1188</v>
      </c>
      <c r="B138" s="190" t="s">
        <v>1188</v>
      </c>
      <c r="C138" s="191">
        <v>2.5619999999999998</v>
      </c>
      <c r="D138" s="200" t="s">
        <v>2126</v>
      </c>
      <c r="E138" s="200" t="s">
        <v>2127</v>
      </c>
      <c r="F138" s="177" t="b">
        <f>IF(ISBLANK(FarmUnit[[#This Row],[1. Identifiant interne d’exploitation agricole*]]),"",IF(ISERROR(MATCH(FarmUnit[[#This Row],[1. Identifiant interne d’exploitation agricole*]],GroupMember[1. Identifiant interne d’exploitation agricole*],0)),FALSE,TRUE))</f>
        <v>1</v>
      </c>
      <c r="G138" s="192" t="str">
        <f t="shared" si="7"/>
        <v>7.0459</v>
      </c>
      <c r="H138" s="192" t="str">
        <f t="shared" si="8"/>
        <v>-7.7553</v>
      </c>
      <c r="I138" s="193" t="str">
        <f t="array" ref="I138">IF(ISBLANK(C138),"",IF(C138=MAX(IF([1. Identifiant interne d’exploitation agricole*]=A138,[3. Superficie de l’unité agricole (ha)*])),"!","-"))</f>
        <v>!</v>
      </c>
      <c r="J138" s="178" t="str">
        <f>IFERROR(CONCATENATE(VLOOKUP(A138,GM_Table,12,FALSE)," ",(VLOOKUP(A138,GM_Table,13,FALSE))),"")</f>
        <v/>
      </c>
    </row>
    <row r="139" spans="1:10">
      <c r="A139" s="189" t="s">
        <v>1192</v>
      </c>
      <c r="B139" s="190" t="s">
        <v>1192</v>
      </c>
      <c r="C139" s="191">
        <v>0.7389</v>
      </c>
      <c r="D139" s="200" t="s">
        <v>2128</v>
      </c>
      <c r="E139" s="200" t="s">
        <v>2129</v>
      </c>
      <c r="F139" s="177" t="b">
        <f>IF(ISBLANK(FarmUnit[[#This Row],[1. Identifiant interne d’exploitation agricole*]]),"",IF(ISERROR(MATCH(FarmUnit[[#This Row],[1. Identifiant interne d’exploitation agricole*]],GroupMember[1. Identifiant interne d’exploitation agricole*],0)),FALSE,TRUE))</f>
        <v>1</v>
      </c>
      <c r="G139" s="192" t="str">
        <f t="shared" si="7"/>
        <v>7.0486</v>
      </c>
      <c r="H139" s="192" t="str">
        <f t="shared" si="8"/>
        <v>-7.7664</v>
      </c>
      <c r="I139" s="193" t="str">
        <f t="array" ref="I139">IF(ISBLANK(C139),"",IF(C139=MAX(IF([1. Identifiant interne d’exploitation agricole*]=A139,[3. Superficie de l’unité agricole (ha)*])),"!","-"))</f>
        <v>!</v>
      </c>
      <c r="J139" s="178" t="str">
        <f>IFERROR(CONCATENATE(VLOOKUP(A139,GM_Table,12,FALSE)," ",(VLOOKUP(A139,GM_Table,13,FALSE))),"")</f>
        <v/>
      </c>
    </row>
    <row r="140" spans="1:10">
      <c r="A140" s="189" t="s">
        <v>1197</v>
      </c>
      <c r="B140" s="190" t="s">
        <v>1197</v>
      </c>
      <c r="C140" s="191">
        <v>2.1417000000000002</v>
      </c>
      <c r="D140" s="200" t="s">
        <v>2130</v>
      </c>
      <c r="E140" s="200" t="s">
        <v>2131</v>
      </c>
      <c r="F140" s="177" t="b">
        <f>IF(ISBLANK(FarmUnit[[#This Row],[1. Identifiant interne d’exploitation agricole*]]),"",IF(ISERROR(MATCH(FarmUnit[[#This Row],[1. Identifiant interne d’exploitation agricole*]],GroupMember[1. Identifiant interne d’exploitation agricole*],0)),FALSE,TRUE))</f>
        <v>1</v>
      </c>
      <c r="G140" s="192" t="str">
        <f t="shared" si="7"/>
        <v>7.0525</v>
      </c>
      <c r="H140" s="192" t="str">
        <f t="shared" si="8"/>
        <v>-7.7519</v>
      </c>
      <c r="I140" s="193" t="str">
        <f t="array" ref="I140">IF(ISBLANK(C140),"",IF(C140=MAX(IF([1. Identifiant interne d’exploitation agricole*]=A140,[3. Superficie de l’unité agricole (ha)*])),"!","-"))</f>
        <v>!</v>
      </c>
      <c r="J140" s="178" t="str">
        <f>IFERROR(CONCATENATE(VLOOKUP(A140,GM_Table,12,FALSE)," ",(VLOOKUP(A140,GM_Table,13,FALSE))),"")</f>
        <v/>
      </c>
    </row>
    <row r="141" spans="1:10">
      <c r="A141" s="189" t="s">
        <v>1200</v>
      </c>
      <c r="B141" s="190" t="s">
        <v>1200</v>
      </c>
      <c r="C141" s="191">
        <v>2.3812000000000002</v>
      </c>
      <c r="D141" s="200" t="s">
        <v>2132</v>
      </c>
      <c r="E141" s="200" t="s">
        <v>2133</v>
      </c>
      <c r="F141" s="177" t="b">
        <f>IF(ISBLANK(FarmUnit[[#This Row],[1. Identifiant interne d’exploitation agricole*]]),"",IF(ISERROR(MATCH(FarmUnit[[#This Row],[1. Identifiant interne d’exploitation agricole*]],GroupMember[1. Identifiant interne d’exploitation agricole*],0)),FALSE,TRUE))</f>
        <v>1</v>
      </c>
      <c r="G141" s="192" t="str">
        <f t="shared" si="7"/>
        <v>6.93947</v>
      </c>
      <c r="H141" s="192" t="str">
        <f t="shared" si="8"/>
        <v>-7.80715</v>
      </c>
      <c r="I141" s="193" t="str">
        <f t="array" ref="I141">IF(ISBLANK(C141),"",IF(C141=MAX(IF([1. Identifiant interne d’exploitation agricole*]=A141,[3. Superficie de l’unité agricole (ha)*])),"!","-"))</f>
        <v>!</v>
      </c>
      <c r="J141" s="178" t="str">
        <f>IFERROR(CONCATENATE(VLOOKUP(A141,GM_Table,12,FALSE)," ",(VLOOKUP(A141,GM_Table,13,FALSE))),"")</f>
        <v/>
      </c>
    </row>
    <row r="142" spans="1:10">
      <c r="A142" s="189" t="s">
        <v>1204</v>
      </c>
      <c r="B142" s="190" t="s">
        <v>1204</v>
      </c>
      <c r="C142" s="191">
        <v>2.4075000000000002</v>
      </c>
      <c r="D142" s="200" t="s">
        <v>2134</v>
      </c>
      <c r="E142" s="200" t="s">
        <v>2135</v>
      </c>
      <c r="F142" s="177" t="b">
        <f>IF(ISBLANK(FarmUnit[[#This Row],[1. Identifiant interne d’exploitation agricole*]]),"",IF(ISERROR(MATCH(FarmUnit[[#This Row],[1. Identifiant interne d’exploitation agricole*]],GroupMember[1. Identifiant interne d’exploitation agricole*],0)),FALSE,TRUE))</f>
        <v>1</v>
      </c>
      <c r="G142" s="192" t="str">
        <f t="shared" si="7"/>
        <v>7.1592</v>
      </c>
      <c r="H142" s="192" t="str">
        <f t="shared" si="8"/>
        <v>-7.58575</v>
      </c>
      <c r="I142" s="193" t="str">
        <f t="array" ref="I142">IF(ISBLANK(C142),"",IF(C142=MAX(IF([1. Identifiant interne d’exploitation agricole*]=A142,[3. Superficie de l’unité agricole (ha)*])),"!","-"))</f>
        <v>!</v>
      </c>
      <c r="J142" s="178" t="str">
        <f>IFERROR(CONCATENATE(VLOOKUP(A142,GM_Table,12,FALSE)," ",(VLOOKUP(A142,GM_Table,13,FALSE))),"")</f>
        <v/>
      </c>
    </row>
    <row r="143" spans="1:10">
      <c r="A143" s="189" t="s">
        <v>1207</v>
      </c>
      <c r="B143" s="190" t="s">
        <v>1207</v>
      </c>
      <c r="C143" s="191">
        <v>1.0468</v>
      </c>
      <c r="D143" s="200" t="s">
        <v>2136</v>
      </c>
      <c r="E143" s="200" t="s">
        <v>2137</v>
      </c>
      <c r="F143" s="177" t="b">
        <f>IF(ISBLANK(FarmUnit[[#This Row],[1. Identifiant interne d’exploitation agricole*]]),"",IF(ISERROR(MATCH(FarmUnit[[#This Row],[1. Identifiant interne d’exploitation agricole*]],GroupMember[1. Identifiant interne d’exploitation agricole*],0)),FALSE,TRUE))</f>
        <v>1</v>
      </c>
      <c r="G143" s="192" t="str">
        <f t="shared" si="7"/>
        <v>7.11395</v>
      </c>
      <c r="H143" s="192" t="str">
        <f t="shared" si="8"/>
        <v>-7.72826</v>
      </c>
      <c r="I143" s="193" t="str">
        <f t="array" ref="I143">IF(ISBLANK(C143),"",IF(C143=MAX(IF([1. Identifiant interne d’exploitation agricole*]=A143,[3. Superficie de l’unité agricole (ha)*])),"!","-"))</f>
        <v>!</v>
      </c>
      <c r="J143" s="178" t="str">
        <f>IFERROR(CONCATENATE(VLOOKUP(A143,GM_Table,12,FALSE)," ",(VLOOKUP(A143,GM_Table,13,FALSE))),"")</f>
        <v/>
      </c>
    </row>
    <row r="144" spans="1:10">
      <c r="A144" s="189" t="s">
        <v>1209</v>
      </c>
      <c r="B144" s="190" t="s">
        <v>1209</v>
      </c>
      <c r="C144" s="191">
        <v>3.1364000000000001</v>
      </c>
      <c r="D144" s="200" t="s">
        <v>2138</v>
      </c>
      <c r="E144" s="200" t="s">
        <v>2139</v>
      </c>
      <c r="F144" s="177" t="b">
        <f>IF(ISBLANK(FarmUnit[[#This Row],[1. Identifiant interne d’exploitation agricole*]]),"",IF(ISERROR(MATCH(FarmUnit[[#This Row],[1. Identifiant interne d’exploitation agricole*]],GroupMember[1. Identifiant interne d’exploitation agricole*],0)),FALSE,TRUE))</f>
        <v>1</v>
      </c>
      <c r="G144" s="192" t="str">
        <f t="shared" si="7"/>
        <v>7.11714</v>
      </c>
      <c r="H144" s="192" t="str">
        <f t="shared" si="8"/>
        <v>-7.72795</v>
      </c>
      <c r="I144" s="193" t="str">
        <f t="array" ref="I144">IF(ISBLANK(C144),"",IF(C144=MAX(IF([1. Identifiant interne d’exploitation agricole*]=A144,[3. Superficie de l’unité agricole (ha)*])),"!","-"))</f>
        <v>!</v>
      </c>
      <c r="J144" s="178" t="str">
        <f>IFERROR(CONCATENATE(VLOOKUP(A144,GM_Table,12,FALSE)," ",(VLOOKUP(A144,GM_Table,13,FALSE))),"")</f>
        <v/>
      </c>
    </row>
    <row r="145" spans="1:10">
      <c r="A145" s="189" t="s">
        <v>1212</v>
      </c>
      <c r="B145" s="190" t="s">
        <v>1212</v>
      </c>
      <c r="C145" s="191">
        <v>2.1998000000000002</v>
      </c>
      <c r="D145" s="200" t="s">
        <v>2140</v>
      </c>
      <c r="E145" s="200" t="s">
        <v>2141</v>
      </c>
      <c r="F145" s="177" t="b">
        <f>IF(ISBLANK(FarmUnit[[#This Row],[1. Identifiant interne d’exploitation agricole*]]),"",IF(ISERROR(MATCH(FarmUnit[[#This Row],[1. Identifiant interne d’exploitation agricole*]],GroupMember[1. Identifiant interne d’exploitation agricole*],0)),FALSE,TRUE))</f>
        <v>1</v>
      </c>
      <c r="G145" s="192" t="str">
        <f t="shared" si="7"/>
        <v>7.0697</v>
      </c>
      <c r="H145" s="192" t="str">
        <f t="shared" si="8"/>
        <v>-7.7515</v>
      </c>
      <c r="I145" s="193" t="str">
        <f t="array" ref="I145">IF(ISBLANK(C145),"",IF(C145=MAX(IF([1. Identifiant interne d’exploitation agricole*]=A145,[3. Superficie de l’unité agricole (ha)*])),"!","-"))</f>
        <v>!</v>
      </c>
      <c r="J145" s="178" t="str">
        <f>IFERROR(CONCATENATE(VLOOKUP(A145,GM_Table,12,FALSE)," ",(VLOOKUP(A145,GM_Table,13,FALSE))),"")</f>
        <v/>
      </c>
    </row>
    <row r="146" spans="1:10">
      <c r="A146" s="189" t="s">
        <v>1217</v>
      </c>
      <c r="B146" s="190" t="s">
        <v>1217</v>
      </c>
      <c r="C146" s="191">
        <v>2.7324999999999999</v>
      </c>
      <c r="D146" s="200" t="s">
        <v>2142</v>
      </c>
      <c r="E146" s="200" t="s">
        <v>2143</v>
      </c>
      <c r="F146" s="177" t="b">
        <f>IF(ISBLANK(FarmUnit[[#This Row],[1. Identifiant interne d’exploitation agricole*]]),"",IF(ISERROR(MATCH(FarmUnit[[#This Row],[1. Identifiant interne d’exploitation agricole*]],GroupMember[1. Identifiant interne d’exploitation agricole*],0)),FALSE,TRUE))</f>
        <v>1</v>
      </c>
      <c r="G146" s="192" t="str">
        <f t="shared" si="7"/>
        <v>6.9896</v>
      </c>
      <c r="H146" s="192" t="str">
        <f t="shared" si="8"/>
        <v>-7.72364</v>
      </c>
      <c r="I146" s="193" t="str">
        <f t="array" ref="I146">IF(ISBLANK(C146),"",IF(C146=MAX(IF([1. Identifiant interne d’exploitation agricole*]=A146,[3. Superficie de l’unité agricole (ha)*])),"!","-"))</f>
        <v>!</v>
      </c>
      <c r="J146" s="178" t="str">
        <f>IFERROR(CONCATENATE(VLOOKUP(A146,GM_Table,12,FALSE)," ",(VLOOKUP(A146,GM_Table,13,FALSE))),"")</f>
        <v/>
      </c>
    </row>
    <row r="147" spans="1:10">
      <c r="A147" s="189" t="s">
        <v>1221</v>
      </c>
      <c r="B147" s="190" t="s">
        <v>1221</v>
      </c>
      <c r="C147" s="191">
        <v>1.8401000000000001</v>
      </c>
      <c r="D147" s="200" t="s">
        <v>2144</v>
      </c>
      <c r="E147" s="200" t="s">
        <v>2145</v>
      </c>
      <c r="F147" s="177" t="b">
        <f>IF(ISBLANK(FarmUnit[[#This Row],[1. Identifiant interne d’exploitation agricole*]]),"",IF(ISERROR(MATCH(FarmUnit[[#This Row],[1. Identifiant interne d’exploitation agricole*]],GroupMember[1. Identifiant interne d’exploitation agricole*],0)),FALSE,TRUE))</f>
        <v>1</v>
      </c>
      <c r="G147" s="192" t="str">
        <f t="shared" si="7"/>
        <v>7.1021</v>
      </c>
      <c r="H147" s="192" t="str">
        <f t="shared" si="8"/>
        <v>-7.7826</v>
      </c>
      <c r="I147" s="193" t="str">
        <f t="array" ref="I147">IF(ISBLANK(C147),"",IF(C147=MAX(IF([1. Identifiant interne d’exploitation agricole*]=A147,[3. Superficie de l’unité agricole (ha)*])),"!","-"))</f>
        <v>!</v>
      </c>
      <c r="J147" s="178" t="str">
        <f>IFERROR(CONCATENATE(VLOOKUP(A147,GM_Table,12,FALSE)," ",(VLOOKUP(A147,GM_Table,13,FALSE))),"")</f>
        <v/>
      </c>
    </row>
    <row r="148" spans="1:10">
      <c r="A148" s="189" t="s">
        <v>1225</v>
      </c>
      <c r="B148" s="190" t="s">
        <v>1225</v>
      </c>
      <c r="C148" s="191">
        <v>8.5104000000000006</v>
      </c>
      <c r="D148" s="200" t="s">
        <v>2146</v>
      </c>
      <c r="E148" s="200" t="s">
        <v>2147</v>
      </c>
      <c r="F148" s="177" t="b">
        <f>IF(ISBLANK(FarmUnit[[#This Row],[1. Identifiant interne d’exploitation agricole*]]),"",IF(ISERROR(MATCH(FarmUnit[[#This Row],[1. Identifiant interne d’exploitation agricole*]],GroupMember[1. Identifiant interne d’exploitation agricole*],0)),FALSE,TRUE))</f>
        <v>1</v>
      </c>
      <c r="G148" s="192" t="str">
        <f t="shared" si="7"/>
        <v>7.1035</v>
      </c>
      <c r="H148" s="192" t="str">
        <f t="shared" si="8"/>
        <v>-7.778</v>
      </c>
      <c r="I148" s="193" t="str">
        <f t="array" ref="I148">IF(ISBLANK(C148),"",IF(C148=MAX(IF([1. Identifiant interne d’exploitation agricole*]=A148,[3. Superficie de l’unité agricole (ha)*])),"!","-"))</f>
        <v>!</v>
      </c>
      <c r="J148" s="178" t="str">
        <f>IFERROR(CONCATENATE(VLOOKUP(A148,GM_Table,12,FALSE)," ",(VLOOKUP(A148,GM_Table,13,FALSE))),"")</f>
        <v/>
      </c>
    </row>
    <row r="149" spans="1:10">
      <c r="A149" s="189" t="s">
        <v>1228</v>
      </c>
      <c r="B149" s="190" t="s">
        <v>1228</v>
      </c>
      <c r="C149" s="191">
        <v>2.5876000000000001</v>
      </c>
      <c r="D149" s="200" t="s">
        <v>2148</v>
      </c>
      <c r="E149" s="200" t="s">
        <v>2149</v>
      </c>
      <c r="F149" s="177" t="b">
        <f>IF(ISBLANK(FarmUnit[[#This Row],[1. Identifiant interne d’exploitation agricole*]]),"",IF(ISERROR(MATCH(FarmUnit[[#This Row],[1. Identifiant interne d’exploitation agricole*]],GroupMember[1. Identifiant interne d’exploitation agricole*],0)),FALSE,TRUE))</f>
        <v>1</v>
      </c>
      <c r="G149" s="192" t="str">
        <f t="shared" si="7"/>
        <v>6.97803</v>
      </c>
      <c r="H149" s="192" t="str">
        <f t="shared" si="8"/>
        <v>-7.47311</v>
      </c>
      <c r="I149" s="193" t="str">
        <f t="array" ref="I149">IF(ISBLANK(C149),"",IF(C149=MAX(IF([1. Identifiant interne d’exploitation agricole*]=A149,[3. Superficie de l’unité agricole (ha)*])),"!","-"))</f>
        <v>!</v>
      </c>
      <c r="J149" s="178" t="str">
        <f>IFERROR(CONCATENATE(VLOOKUP(A149,GM_Table,12,FALSE)," ",(VLOOKUP(A149,GM_Table,13,FALSE))),"")</f>
        <v/>
      </c>
    </row>
    <row r="150" spans="1:10">
      <c r="A150" s="189" t="s">
        <v>1231</v>
      </c>
      <c r="B150" s="189" t="s">
        <v>1231</v>
      </c>
      <c r="C150" s="191">
        <v>2.2564000000000002</v>
      </c>
      <c r="D150" s="200" t="s">
        <v>2150</v>
      </c>
      <c r="E150" s="200" t="s">
        <v>2151</v>
      </c>
      <c r="F150" s="177" t="b">
        <f>IF(ISBLANK(FarmUnit[[#This Row],[1. Identifiant interne d’exploitation agricole*]]),"",IF(ISERROR(MATCH(FarmUnit[[#This Row],[1. Identifiant interne d’exploitation agricole*]],GroupMember[1. Identifiant interne d’exploitation agricole*],0)),FALSE,TRUE))</f>
        <v>1</v>
      </c>
      <c r="G150" s="192" t="str">
        <f t="shared" si="7"/>
        <v>6.98574</v>
      </c>
      <c r="H150" s="192" t="str">
        <f t="shared" si="8"/>
        <v>-7.63236</v>
      </c>
      <c r="I150" s="193" t="str">
        <f t="array" ref="I150">IF(ISBLANK(C150),"",IF(C150=MAX(IF([1. Identifiant interne d’exploitation agricole*]=A150,[3. Superficie de l’unité agricole (ha)*])),"!","-"))</f>
        <v>!</v>
      </c>
      <c r="J150" s="178" t="str">
        <f>IFERROR(CONCATENATE(VLOOKUP(A150,GM_Table,12,FALSE)," ",(VLOOKUP(A150,GM_Table,13,FALSE))),"")</f>
        <v/>
      </c>
    </row>
    <row r="151" spans="1:10">
      <c r="A151" s="189" t="s">
        <v>1233</v>
      </c>
      <c r="B151" s="190" t="s">
        <v>1233</v>
      </c>
      <c r="C151" s="191">
        <v>2.3047</v>
      </c>
      <c r="D151" s="200" t="s">
        <v>2152</v>
      </c>
      <c r="E151" s="200" t="s">
        <v>2153</v>
      </c>
      <c r="F151" s="177" t="b">
        <f>IF(ISBLANK(FarmUnit[[#This Row],[1. Identifiant interne d’exploitation agricole*]]),"",IF(ISERROR(MATCH(FarmUnit[[#This Row],[1. Identifiant interne d’exploitation agricole*]],GroupMember[1. Identifiant interne d’exploitation agricole*],0)),FALSE,TRUE))</f>
        <v>1</v>
      </c>
      <c r="G151" s="192" t="str">
        <f t="shared" si="7"/>
        <v>7.11136</v>
      </c>
      <c r="H151" s="192" t="str">
        <f t="shared" si="8"/>
        <v>-7.73578</v>
      </c>
      <c r="I151" s="193" t="str">
        <f t="array" ref="I151">IF(ISBLANK(C151),"",IF(C151=MAX(IF([1. Identifiant interne d’exploitation agricole*]=A151,[3. Superficie de l’unité agricole (ha)*])),"!","-"))</f>
        <v>!</v>
      </c>
      <c r="J151" s="178" t="str">
        <f>IFERROR(CONCATENATE(VLOOKUP(A151,GM_Table,12,FALSE)," ",(VLOOKUP(A151,GM_Table,13,FALSE))),"")</f>
        <v/>
      </c>
    </row>
    <row r="152" spans="1:10">
      <c r="A152" s="189" t="s">
        <v>1238</v>
      </c>
      <c r="B152" s="190" t="s">
        <v>1238</v>
      </c>
      <c r="C152" s="191">
        <v>2.4141499999999998</v>
      </c>
      <c r="D152" s="200" t="s">
        <v>2154</v>
      </c>
      <c r="E152" s="200" t="s">
        <v>2155</v>
      </c>
      <c r="F152" s="177" t="b">
        <f>IF(ISBLANK(FarmUnit[[#This Row],[1. Identifiant interne d’exploitation agricole*]]),"",IF(ISERROR(MATCH(FarmUnit[[#This Row],[1. Identifiant interne d’exploitation agricole*]],GroupMember[1. Identifiant interne d’exploitation agricole*],0)),FALSE,TRUE))</f>
        <v>1</v>
      </c>
      <c r="G152" s="192" t="str">
        <f t="shared" si="7"/>
        <v>7.10859</v>
      </c>
      <c r="H152" s="192" t="str">
        <f t="shared" si="8"/>
        <v>-7.73554</v>
      </c>
      <c r="I152" s="193" t="str">
        <f t="array" ref="I152">IF(ISBLANK(C152),"",IF(C152=MAX(IF([1. Identifiant interne d’exploitation agricole*]=A152,[3. Superficie de l’unité agricole (ha)*])),"!","-"))</f>
        <v>!</v>
      </c>
      <c r="J152" s="178" t="str">
        <f>IFERROR(CONCATENATE(VLOOKUP(A152,GM_Table,12,FALSE)," ",(VLOOKUP(A152,GM_Table,13,FALSE))),"")</f>
        <v/>
      </c>
    </row>
    <row r="153" spans="1:10">
      <c r="A153" s="189" t="s">
        <v>1243</v>
      </c>
      <c r="B153" s="190" t="s">
        <v>1243</v>
      </c>
      <c r="C153" s="191">
        <v>2.1282000000000001</v>
      </c>
      <c r="D153" s="200" t="s">
        <v>2156</v>
      </c>
      <c r="E153" s="200" t="s">
        <v>2157</v>
      </c>
      <c r="F153" s="177" t="b">
        <f>IF(ISBLANK(FarmUnit[[#This Row],[1. Identifiant interne d’exploitation agricole*]]),"",IF(ISERROR(MATCH(FarmUnit[[#This Row],[1. Identifiant interne d’exploitation agricole*]],GroupMember[1. Identifiant interne d’exploitation agricole*],0)),FALSE,TRUE))</f>
        <v>1</v>
      </c>
      <c r="G153" s="192" t="str">
        <f t="shared" si="7"/>
        <v>7.11681</v>
      </c>
      <c r="H153" s="192" t="str">
        <f t="shared" si="8"/>
        <v>-7.60517</v>
      </c>
      <c r="I153" s="193" t="str">
        <f t="array" ref="I153">IF(ISBLANK(C153),"",IF(C153=MAX(IF([1. Identifiant interne d’exploitation agricole*]=A153,[3. Superficie de l’unité agricole (ha)*])),"!","-"))</f>
        <v>!</v>
      </c>
      <c r="J153" s="178" t="str">
        <f>IFERROR(CONCATENATE(VLOOKUP(A153,GM_Table,12,FALSE)," ",(VLOOKUP(A153,GM_Table,13,FALSE))),"")</f>
        <v/>
      </c>
    </row>
    <row r="154" spans="1:10">
      <c r="A154" s="189" t="s">
        <v>1246</v>
      </c>
      <c r="B154" s="190" t="s">
        <v>1246</v>
      </c>
      <c r="C154" s="191">
        <v>3.7690999999999999</v>
      </c>
      <c r="D154" s="200" t="s">
        <v>2158</v>
      </c>
      <c r="E154" s="200" t="s">
        <v>2159</v>
      </c>
      <c r="F154" s="177" t="b">
        <f>IF(ISBLANK(FarmUnit[[#This Row],[1. Identifiant interne d’exploitation agricole*]]),"",IF(ISERROR(MATCH(FarmUnit[[#This Row],[1. Identifiant interne d’exploitation agricole*]],GroupMember[1. Identifiant interne d’exploitation agricole*],0)),FALSE,TRUE))</f>
        <v>1</v>
      </c>
      <c r="G154" s="192" t="str">
        <f t="shared" si="7"/>
        <v>6.92791</v>
      </c>
      <c r="H154" s="192" t="str">
        <f t="shared" si="8"/>
        <v>-7.83046</v>
      </c>
      <c r="I154" s="193" t="str">
        <f t="array" ref="I154">IF(ISBLANK(C154),"",IF(C154=MAX(IF([1. Identifiant interne d’exploitation agricole*]=A154,[3. Superficie de l’unité agricole (ha)*])),"!","-"))</f>
        <v>!</v>
      </c>
      <c r="J154" s="178" t="str">
        <f>IFERROR(CONCATENATE(VLOOKUP(A154,GM_Table,12,FALSE)," ",(VLOOKUP(A154,GM_Table,13,FALSE))),"")</f>
        <v/>
      </c>
    </row>
    <row r="155" spans="1:10">
      <c r="A155" s="189" t="s">
        <v>1250</v>
      </c>
      <c r="B155" s="190" t="s">
        <v>1250</v>
      </c>
      <c r="C155" s="191">
        <v>1.4766999999999999</v>
      </c>
      <c r="D155" s="200" t="s">
        <v>2160</v>
      </c>
      <c r="E155" s="200" t="s">
        <v>2161</v>
      </c>
      <c r="F155" s="177" t="b">
        <f>IF(ISBLANK(FarmUnit[[#This Row],[1. Identifiant interne d’exploitation agricole*]]),"",IF(ISERROR(MATCH(FarmUnit[[#This Row],[1. Identifiant interne d’exploitation agricole*]],GroupMember[1. Identifiant interne d’exploitation agricole*],0)),FALSE,TRUE))</f>
        <v>1</v>
      </c>
      <c r="G155" s="192" t="str">
        <f t="shared" si="7"/>
        <v>7.1089</v>
      </c>
      <c r="H155" s="192" t="str">
        <f t="shared" si="8"/>
        <v>-7.73117</v>
      </c>
      <c r="I155" s="193" t="str">
        <f t="array" ref="I155">IF(ISBLANK(C155),"",IF(C155=MAX(IF([1. Identifiant interne d’exploitation agricole*]=A155,[3. Superficie de l’unité agricole (ha)*])),"!","-"))</f>
        <v>!</v>
      </c>
      <c r="J155" s="178" t="str">
        <f>IFERROR(CONCATENATE(VLOOKUP(A155,GM_Table,12,FALSE)," ",(VLOOKUP(A155,GM_Table,13,FALSE))),"")</f>
        <v/>
      </c>
    </row>
    <row r="156" spans="1:10">
      <c r="A156" s="189" t="s">
        <v>1257</v>
      </c>
      <c r="B156" s="189" t="s">
        <v>1257</v>
      </c>
      <c r="C156" s="191">
        <v>1.4404999999999999</v>
      </c>
      <c r="D156" s="200" t="s">
        <v>2162</v>
      </c>
      <c r="E156" s="200" t="s">
        <v>2163</v>
      </c>
      <c r="F156" s="177" t="b">
        <f>IF(ISBLANK(FarmUnit[[#This Row],[1. Identifiant interne d’exploitation agricole*]]),"",IF(ISERROR(MATCH(FarmUnit[[#This Row],[1. Identifiant interne d’exploitation agricole*]],GroupMember[1. Identifiant interne d’exploitation agricole*],0)),FALSE,TRUE))</f>
        <v>1</v>
      </c>
      <c r="G156" s="192" t="str">
        <f t="shared" si="7"/>
        <v>7.10895</v>
      </c>
      <c r="H156" s="192" t="str">
        <f t="shared" si="8"/>
        <v>-7.72874</v>
      </c>
      <c r="I156" s="193" t="str">
        <f t="array" ref="I156">IF(ISBLANK(C156),"",IF(C156=MAX(IF([1. Identifiant interne d’exploitation agricole*]=A156,[3. Superficie de l’unité agricole (ha)*])),"!","-"))</f>
        <v>!</v>
      </c>
      <c r="J156" s="178" t="str">
        <f>IFERROR(CONCATENATE(VLOOKUP(A156,GM_Table,12,FALSE)," ",(VLOOKUP(A156,GM_Table,13,FALSE))),"")</f>
        <v/>
      </c>
    </row>
    <row r="157" spans="1:10">
      <c r="A157" s="189" t="s">
        <v>1260</v>
      </c>
      <c r="B157" s="189" t="s">
        <v>1260</v>
      </c>
      <c r="C157" s="191">
        <v>1.9068000000000001</v>
      </c>
      <c r="D157" s="200" t="s">
        <v>2164</v>
      </c>
      <c r="E157" s="200" t="s">
        <v>2165</v>
      </c>
      <c r="F157" s="177" t="b">
        <f>IF(ISBLANK(FarmUnit[[#This Row],[1. Identifiant interne d’exploitation agricole*]]),"",IF(ISERROR(MATCH(FarmUnit[[#This Row],[1. Identifiant interne d’exploitation agricole*]],GroupMember[1. Identifiant interne d’exploitation agricole*],0)),FALSE,TRUE))</f>
        <v>1</v>
      </c>
      <c r="G157" s="192" t="str">
        <f t="shared" si="7"/>
        <v>7.11239</v>
      </c>
      <c r="H157" s="192" t="str">
        <f t="shared" si="8"/>
        <v>-7.72522</v>
      </c>
      <c r="I157" s="193" t="str">
        <f t="array" ref="I157">IF(ISBLANK(C157),"",IF(C157=MAX(IF([1. Identifiant interne d’exploitation agricole*]=A157,[3. Superficie de l’unité agricole (ha)*])),"!","-"))</f>
        <v>!</v>
      </c>
      <c r="J157" s="178" t="str">
        <f>IFERROR(CONCATENATE(VLOOKUP(A157,GM_Table,12,FALSE)," ",(VLOOKUP(A157,GM_Table,13,FALSE))),"")</f>
        <v/>
      </c>
    </row>
    <row r="158" spans="1:10">
      <c r="A158" s="189" t="s">
        <v>1265</v>
      </c>
      <c r="B158" s="190" t="s">
        <v>1265</v>
      </c>
      <c r="C158" s="191">
        <v>1.0654999999999999</v>
      </c>
      <c r="D158" s="200" t="s">
        <v>2166</v>
      </c>
      <c r="E158" s="200" t="s">
        <v>2167</v>
      </c>
      <c r="F158" s="177" t="b">
        <f>IF(ISBLANK(FarmUnit[[#This Row],[1. Identifiant interne d’exploitation agricole*]]),"",IF(ISERROR(MATCH(FarmUnit[[#This Row],[1. Identifiant interne d’exploitation agricole*]],GroupMember[1. Identifiant interne d’exploitation agricole*],0)),FALSE,TRUE))</f>
        <v>1</v>
      </c>
      <c r="G158" s="192" t="str">
        <f t="shared" si="7"/>
        <v>7.0607</v>
      </c>
      <c r="H158" s="192" t="str">
        <f t="shared" si="8"/>
        <v>-7.7433</v>
      </c>
      <c r="I158" s="193" t="str">
        <f t="array" ref="I158">IF(ISBLANK(C158),"",IF(C158=MAX(IF([1. Identifiant interne d’exploitation agricole*]=A158,[3. Superficie de l’unité agricole (ha)*])),"!","-"))</f>
        <v>!</v>
      </c>
      <c r="J158" s="178" t="str">
        <f>IFERROR(CONCATENATE(VLOOKUP(A158,GM_Table,12,FALSE)," ",(VLOOKUP(A158,GM_Table,13,FALSE))),"")</f>
        <v/>
      </c>
    </row>
    <row r="159" spans="1:10">
      <c r="A159" s="189" t="s">
        <v>1270</v>
      </c>
      <c r="B159" s="190" t="s">
        <v>1270</v>
      </c>
      <c r="C159" s="191">
        <v>1.0963000000000001</v>
      </c>
      <c r="D159" s="200" t="s">
        <v>2168</v>
      </c>
      <c r="E159" s="200" t="s">
        <v>2169</v>
      </c>
      <c r="F159" s="177" t="b">
        <f>IF(ISBLANK(FarmUnit[[#This Row],[1. Identifiant interne d’exploitation agricole*]]),"",IF(ISERROR(MATCH(FarmUnit[[#This Row],[1. Identifiant interne d’exploitation agricole*]],GroupMember[1. Identifiant interne d’exploitation agricole*],0)),FALSE,TRUE))</f>
        <v>1</v>
      </c>
      <c r="G159" s="192" t="str">
        <f t="shared" si="7"/>
        <v>7.0874</v>
      </c>
      <c r="H159" s="192" t="str">
        <f t="shared" si="8"/>
        <v>-7.68605</v>
      </c>
      <c r="I159" s="193" t="str">
        <f t="array" ref="I159">IF(ISBLANK(C159),"",IF(C159=MAX(IF([1. Identifiant interne d’exploitation agricole*]=A159,[3. Superficie de l’unité agricole (ha)*])),"!","-"))</f>
        <v>!</v>
      </c>
      <c r="J159" s="178" t="str">
        <f>IFERROR(CONCATENATE(VLOOKUP(A159,GM_Table,12,FALSE)," ",(VLOOKUP(A159,GM_Table,13,FALSE))),"")</f>
        <v/>
      </c>
    </row>
    <row r="160" spans="1:10">
      <c r="A160" s="189" t="s">
        <v>1273</v>
      </c>
      <c r="B160" s="189" t="s">
        <v>1273</v>
      </c>
      <c r="C160" s="191">
        <v>3.0779999999999998</v>
      </c>
      <c r="D160" s="200" t="s">
        <v>2170</v>
      </c>
      <c r="E160" s="200" t="s">
        <v>2171</v>
      </c>
      <c r="F160" s="177" t="b">
        <f>IF(ISBLANK(FarmUnit[[#This Row],[1. Identifiant interne d’exploitation agricole*]]),"",IF(ISERROR(MATCH(FarmUnit[[#This Row],[1. Identifiant interne d’exploitation agricole*]],GroupMember[1. Identifiant interne d’exploitation agricole*],0)),FALSE,TRUE))</f>
        <v>1</v>
      </c>
      <c r="G160" s="192" t="str">
        <f t="shared" si="7"/>
        <v>7.0972</v>
      </c>
      <c r="H160" s="192" t="str">
        <f t="shared" si="8"/>
        <v>-7.66932</v>
      </c>
      <c r="I160" s="193" t="str">
        <f t="array" ref="I160">IF(ISBLANK(C160),"",IF(C160=MAX(IF([1. Identifiant interne d’exploitation agricole*]=A160,[3. Superficie de l’unité agricole (ha)*])),"!","-"))</f>
        <v>!</v>
      </c>
      <c r="J160" s="178" t="str">
        <f>IFERROR(CONCATENATE(VLOOKUP(A160,GM_Table,12,FALSE)," ",(VLOOKUP(A160,GM_Table,13,FALSE))),"")</f>
        <v/>
      </c>
    </row>
    <row r="161" spans="1:10">
      <c r="A161" s="189" t="s">
        <v>1277</v>
      </c>
      <c r="B161" s="190" t="s">
        <v>1277</v>
      </c>
      <c r="C161" s="191">
        <v>1.3565</v>
      </c>
      <c r="D161" s="200" t="s">
        <v>2172</v>
      </c>
      <c r="E161" s="200" t="s">
        <v>2173</v>
      </c>
      <c r="F161" s="177" t="b">
        <f>IF(ISBLANK(FarmUnit[[#This Row],[1. Identifiant interne d’exploitation agricole*]]),"",IF(ISERROR(MATCH(FarmUnit[[#This Row],[1. Identifiant interne d’exploitation agricole*]],GroupMember[1. Identifiant interne d’exploitation agricole*],0)),FALSE,TRUE))</f>
        <v>1</v>
      </c>
      <c r="G161" s="192" t="str">
        <f t="shared" si="7"/>
        <v>7.12258</v>
      </c>
      <c r="H161" s="192" t="str">
        <f t="shared" si="8"/>
        <v>-7.71034</v>
      </c>
      <c r="I161" s="193" t="str">
        <f t="array" ref="I161">IF(ISBLANK(C161),"",IF(C161=MAX(IF([1. Identifiant interne d’exploitation agricole*]=A161,[3. Superficie de l’unité agricole (ha)*])),"!","-"))</f>
        <v>!</v>
      </c>
      <c r="J161" s="178" t="str">
        <f>IFERROR(CONCATENATE(VLOOKUP(A161,GM_Table,12,FALSE)," ",(VLOOKUP(A161,GM_Table,13,FALSE))),"")</f>
        <v/>
      </c>
    </row>
    <row r="162" spans="1:10">
      <c r="A162" s="189" t="s">
        <v>1281</v>
      </c>
      <c r="B162" s="190" t="s">
        <v>1281</v>
      </c>
      <c r="C162" s="191">
        <v>1.0563</v>
      </c>
      <c r="D162" s="200" t="s">
        <v>2174</v>
      </c>
      <c r="E162" s="200" t="s">
        <v>2175</v>
      </c>
      <c r="F162" s="177" t="b">
        <f>IF(ISBLANK(FarmUnit[[#This Row],[1. Identifiant interne d’exploitation agricole*]]),"",IF(ISERROR(MATCH(FarmUnit[[#This Row],[1. Identifiant interne d’exploitation agricole*]],GroupMember[1. Identifiant interne d’exploitation agricole*],0)),FALSE,TRUE))</f>
        <v>1</v>
      </c>
      <c r="G162" s="192" t="str">
        <f t="shared" si="7"/>
        <v>7.11713</v>
      </c>
      <c r="H162" s="192" t="str">
        <f t="shared" si="8"/>
        <v>-7.71378</v>
      </c>
      <c r="I162" s="193" t="str">
        <f t="array" ref="I162">IF(ISBLANK(C162),"",IF(C162=MAX(IF([1. Identifiant interne d’exploitation agricole*]=A162,[3. Superficie de l’unité agricole (ha)*])),"!","-"))</f>
        <v>!</v>
      </c>
      <c r="J162" s="178" t="str">
        <f>IFERROR(CONCATENATE(VLOOKUP(A162,GM_Table,12,FALSE)," ",(VLOOKUP(A162,GM_Table,13,FALSE))),"")</f>
        <v/>
      </c>
    </row>
    <row r="163" spans="1:10">
      <c r="A163" s="189" t="s">
        <v>1284</v>
      </c>
      <c r="B163" s="190" t="s">
        <v>1284</v>
      </c>
      <c r="C163" s="191">
        <v>0.9254</v>
      </c>
      <c r="D163" s="200" t="s">
        <v>2176</v>
      </c>
      <c r="E163" s="200" t="s">
        <v>2177</v>
      </c>
      <c r="F163" s="177" t="b">
        <f>IF(ISBLANK(FarmUnit[[#This Row],[1. Identifiant interne d’exploitation agricole*]]),"",IF(ISERROR(MATCH(FarmUnit[[#This Row],[1. Identifiant interne d’exploitation agricole*]],GroupMember[1. Identifiant interne d’exploitation agricole*],0)),FALSE,TRUE))</f>
        <v>1</v>
      </c>
      <c r="G163" s="192" t="str">
        <f t="shared" si="7"/>
        <v>6.90313</v>
      </c>
      <c r="H163" s="192" t="str">
        <f t="shared" si="8"/>
        <v>-7.84501</v>
      </c>
      <c r="I163" s="193" t="str">
        <f t="array" ref="I163">IF(ISBLANK(C163),"",IF(C163=MAX(IF([1. Identifiant interne d’exploitation agricole*]=A163,[3. Superficie de l’unité agricole (ha)*])),"!","-"))</f>
        <v>!</v>
      </c>
      <c r="J163" s="178" t="str">
        <f>IFERROR(CONCATENATE(VLOOKUP(A163,GM_Table,12,FALSE)," ",(VLOOKUP(A163,GM_Table,13,FALSE))),"")</f>
        <v/>
      </c>
    </row>
    <row r="164" spans="1:10">
      <c r="A164" s="189" t="s">
        <v>1287</v>
      </c>
      <c r="B164" s="189" t="s">
        <v>1287</v>
      </c>
      <c r="C164" s="191">
        <v>1.72</v>
      </c>
      <c r="D164" s="200" t="s">
        <v>2178</v>
      </c>
      <c r="E164" s="200" t="s">
        <v>2179</v>
      </c>
      <c r="F164" s="177" t="b">
        <f>IF(ISBLANK(FarmUnit[[#This Row],[1. Identifiant interne d’exploitation agricole*]]),"",IF(ISERROR(MATCH(FarmUnit[[#This Row],[1. Identifiant interne d’exploitation agricole*]],GroupMember[1. Identifiant interne d’exploitation agricole*],0)),FALSE,TRUE))</f>
        <v>1</v>
      </c>
      <c r="G164" s="192" t="str">
        <f t="shared" si="7"/>
        <v>7.1206</v>
      </c>
      <c r="H164" s="192" t="str">
        <f t="shared" si="8"/>
        <v>-7.784</v>
      </c>
      <c r="I164" s="193" t="str">
        <f t="array" ref="I164">IF(ISBLANK(C164),"",IF(C164=MAX(IF([1. Identifiant interne d’exploitation agricole*]=A164,[3. Superficie de l’unité agricole (ha)*])),"!","-"))</f>
        <v>!</v>
      </c>
      <c r="J164" s="178" t="str">
        <f>IFERROR(CONCATENATE(VLOOKUP(A164,GM_Table,12,FALSE)," ",(VLOOKUP(A164,GM_Table,13,FALSE))),"")</f>
        <v/>
      </c>
    </row>
    <row r="165" spans="1:10">
      <c r="A165" s="189" t="s">
        <v>1290</v>
      </c>
      <c r="B165" s="190" t="s">
        <v>1290</v>
      </c>
      <c r="C165" s="191">
        <v>0.58789999999999998</v>
      </c>
      <c r="D165" s="200" t="s">
        <v>2180</v>
      </c>
      <c r="E165" s="200" t="s">
        <v>2181</v>
      </c>
      <c r="F165" s="177" t="b">
        <f>IF(ISBLANK(FarmUnit[[#This Row],[1. Identifiant interne d’exploitation agricole*]]),"",IF(ISERROR(MATCH(FarmUnit[[#This Row],[1. Identifiant interne d’exploitation agricole*]],GroupMember[1. Identifiant interne d’exploitation agricole*],0)),FALSE,TRUE))</f>
        <v>1</v>
      </c>
      <c r="G165" s="192" t="str">
        <f t="shared" si="7"/>
        <v>7.1236</v>
      </c>
      <c r="H165" s="192" t="str">
        <f t="shared" si="8"/>
        <v>-7.7724</v>
      </c>
      <c r="I165" s="193" t="str">
        <f t="array" ref="I165">IF(ISBLANK(C165),"",IF(C165=MAX(IF([1. Identifiant interne d’exploitation agricole*]=A165,[3. Superficie de l’unité agricole (ha)*])),"!","-"))</f>
        <v>!</v>
      </c>
      <c r="J165" s="178" t="str">
        <f>IFERROR(CONCATENATE(VLOOKUP(A165,GM_Table,12,FALSE)," ",(VLOOKUP(A165,GM_Table,13,FALSE))),"")</f>
        <v/>
      </c>
    </row>
    <row r="166" spans="1:10">
      <c r="A166" s="189" t="s">
        <v>1294</v>
      </c>
      <c r="B166" s="190" t="s">
        <v>1294</v>
      </c>
      <c r="C166" s="191">
        <v>1.4934000000000001</v>
      </c>
      <c r="D166" s="200" t="s">
        <v>2182</v>
      </c>
      <c r="E166" s="200" t="s">
        <v>2183</v>
      </c>
      <c r="F166" s="177" t="b">
        <f>IF(ISBLANK(FarmUnit[[#This Row],[1. Identifiant interne d’exploitation agricole*]]),"",IF(ISERROR(MATCH(FarmUnit[[#This Row],[1. Identifiant interne d’exploitation agricole*]],GroupMember[1. Identifiant interne d’exploitation agricole*],0)),FALSE,TRUE))</f>
        <v>1</v>
      </c>
      <c r="G166" s="192" t="str">
        <f t="shared" si="7"/>
        <v>7.15068</v>
      </c>
      <c r="H166" s="192" t="str">
        <f t="shared" si="8"/>
        <v>-7.73197</v>
      </c>
      <c r="I166" s="193" t="str">
        <f t="array" ref="I166">IF(ISBLANK(C166),"",IF(C166=MAX(IF([1. Identifiant interne d’exploitation agricole*]=A166,[3. Superficie de l’unité agricole (ha)*])),"!","-"))</f>
        <v>!</v>
      </c>
      <c r="J166" s="178" t="str">
        <f>IFERROR(CONCATENATE(VLOOKUP(A166,GM_Table,12,FALSE)," ",(VLOOKUP(A166,GM_Table,13,FALSE))),"")</f>
        <v/>
      </c>
    </row>
    <row r="167" spans="1:10">
      <c r="A167" s="189" t="s">
        <v>1297</v>
      </c>
      <c r="B167" s="190" t="s">
        <v>1297</v>
      </c>
      <c r="C167" s="191">
        <v>1.5095000000000001</v>
      </c>
      <c r="D167" s="200" t="s">
        <v>2184</v>
      </c>
      <c r="E167" s="200" t="s">
        <v>2185</v>
      </c>
      <c r="F167" s="177" t="b">
        <f>IF(ISBLANK(FarmUnit[[#This Row],[1. Identifiant interne d’exploitation agricole*]]),"",IF(ISERROR(MATCH(FarmUnit[[#This Row],[1. Identifiant interne d’exploitation agricole*]],GroupMember[1. Identifiant interne d’exploitation agricole*],0)),FALSE,TRUE))</f>
        <v>1</v>
      </c>
      <c r="G167" s="192" t="str">
        <f t="shared" si="7"/>
        <v>7.13441</v>
      </c>
      <c r="H167" s="192" t="str">
        <f t="shared" si="8"/>
        <v>-7.70785</v>
      </c>
      <c r="I167" s="193" t="str">
        <f t="array" ref="I167">IF(ISBLANK(C167),"",IF(C167=MAX(IF([1. Identifiant interne d’exploitation agricole*]=A167,[3. Superficie de l’unité agricole (ha)*])),"!","-"))</f>
        <v>!</v>
      </c>
      <c r="J167" s="178" t="str">
        <f>IFERROR(CONCATENATE(VLOOKUP(A167,GM_Table,12,FALSE)," ",(VLOOKUP(A167,GM_Table,13,FALSE))),"")</f>
        <v/>
      </c>
    </row>
    <row r="168" spans="1:10">
      <c r="A168" s="189" t="s">
        <v>1302</v>
      </c>
      <c r="B168" s="190" t="s">
        <v>1302</v>
      </c>
      <c r="C168" s="191">
        <v>1.0206999999999999</v>
      </c>
      <c r="D168" s="200" t="s">
        <v>2186</v>
      </c>
      <c r="E168" s="200" t="s">
        <v>2187</v>
      </c>
      <c r="F168" s="177" t="b">
        <f>IF(ISBLANK(FarmUnit[[#This Row],[1. Identifiant interne d’exploitation agricole*]]),"",IF(ISERROR(MATCH(FarmUnit[[#This Row],[1. Identifiant interne d’exploitation agricole*]],GroupMember[1. Identifiant interne d’exploitation agricole*],0)),FALSE,TRUE))</f>
        <v>1</v>
      </c>
      <c r="G168" s="192" t="str">
        <f t="shared" si="7"/>
        <v>7.1391</v>
      </c>
      <c r="H168" s="192" t="str">
        <f t="shared" si="8"/>
        <v>-7.8005</v>
      </c>
      <c r="I168" s="193" t="str">
        <f t="array" ref="I168">IF(ISBLANK(C168),"",IF(C168=MAX(IF([1. Identifiant interne d’exploitation agricole*]=A168,[3. Superficie de l’unité agricole (ha)*])),"!","-"))</f>
        <v>!</v>
      </c>
      <c r="J168" s="178" t="str">
        <f>IFERROR(CONCATENATE(VLOOKUP(A168,GM_Table,12,FALSE)," ",(VLOOKUP(A168,GM_Table,13,FALSE))),"")</f>
        <v/>
      </c>
    </row>
    <row r="169" spans="1:10">
      <c r="A169" s="189" t="s">
        <v>1308</v>
      </c>
      <c r="B169" s="190" t="s">
        <v>1308</v>
      </c>
      <c r="C169" s="191">
        <v>1.1981999999999999</v>
      </c>
      <c r="D169" s="200" t="s">
        <v>2188</v>
      </c>
      <c r="E169" s="200" t="s">
        <v>2189</v>
      </c>
      <c r="F169" s="177" t="b">
        <f>IF(ISBLANK(FarmUnit[[#This Row],[1. Identifiant interne d’exploitation agricole*]]),"",IF(ISERROR(MATCH(FarmUnit[[#This Row],[1. Identifiant interne d’exploitation agricole*]],GroupMember[1. Identifiant interne d’exploitation agricole*],0)),FALSE,TRUE))</f>
        <v>1</v>
      </c>
      <c r="G169" s="192" t="str">
        <f t="shared" si="7"/>
        <v>7.1399</v>
      </c>
      <c r="H169" s="192" t="str">
        <f t="shared" si="8"/>
        <v>-7.7995</v>
      </c>
      <c r="I169" s="193" t="str">
        <f t="array" ref="I169">IF(ISBLANK(C169),"",IF(C169=MAX(IF([1. Identifiant interne d’exploitation agricole*]=A169,[3. Superficie de l’unité agricole (ha)*])),"!","-"))</f>
        <v>!</v>
      </c>
      <c r="J169" s="178" t="str">
        <f>IFERROR(CONCATENATE(VLOOKUP(A169,GM_Table,12,FALSE)," ",(VLOOKUP(A169,GM_Table,13,FALSE))),"")</f>
        <v/>
      </c>
    </row>
    <row r="170" spans="1:10">
      <c r="A170" s="189" t="s">
        <v>1312</v>
      </c>
      <c r="B170" s="190" t="s">
        <v>1312</v>
      </c>
      <c r="C170" s="191">
        <v>1.125</v>
      </c>
      <c r="D170" s="200" t="s">
        <v>2190</v>
      </c>
      <c r="E170" s="200" t="s">
        <v>2191</v>
      </c>
      <c r="F170" s="177" t="b">
        <f>IF(ISBLANK(FarmUnit[[#This Row],[1. Identifiant interne d’exploitation agricole*]]),"",IF(ISERROR(MATCH(FarmUnit[[#This Row],[1. Identifiant interne d’exploitation agricole*]],GroupMember[1. Identifiant interne d’exploitation agricole*],0)),FALSE,TRUE))</f>
        <v>1</v>
      </c>
      <c r="G170" s="192" t="str">
        <f t="shared" si="7"/>
        <v>7.0925</v>
      </c>
      <c r="H170" s="192" t="str">
        <f t="shared" si="8"/>
        <v>-7.7636</v>
      </c>
      <c r="I170" s="193" t="str">
        <f t="array" ref="I170">IF(ISBLANK(C170),"",IF(C170=MAX(IF([1. Identifiant interne d’exploitation agricole*]=A170,[3. Superficie de l’unité agricole (ha)*])),"!","-"))</f>
        <v>!</v>
      </c>
      <c r="J170" s="178" t="str">
        <f>IFERROR(CONCATENATE(VLOOKUP(A170,GM_Table,12,FALSE)," ",(VLOOKUP(A170,GM_Table,13,FALSE))),"")</f>
        <v/>
      </c>
    </row>
    <row r="171" spans="1:10">
      <c r="A171" s="189" t="s">
        <v>1316</v>
      </c>
      <c r="B171" s="189" t="s">
        <v>1316</v>
      </c>
      <c r="C171" s="191">
        <v>2.4741</v>
      </c>
      <c r="D171" s="200" t="s">
        <v>2192</v>
      </c>
      <c r="E171" s="200" t="s">
        <v>2193</v>
      </c>
      <c r="F171" s="177" t="b">
        <f>IF(ISBLANK(FarmUnit[[#This Row],[1. Identifiant interne d’exploitation agricole*]]),"",IF(ISERROR(MATCH(FarmUnit[[#This Row],[1. Identifiant interne d’exploitation agricole*]],GroupMember[1. Identifiant interne d’exploitation agricole*],0)),FALSE,TRUE))</f>
        <v>1</v>
      </c>
      <c r="G171" s="192" t="str">
        <f t="shared" si="7"/>
        <v>7.0953</v>
      </c>
      <c r="H171" s="192" t="str">
        <f t="shared" si="8"/>
        <v>-7.7623</v>
      </c>
      <c r="I171" s="193" t="str">
        <f t="array" ref="I171">IF(ISBLANK(C171),"",IF(C171=MAX(IF([1. Identifiant interne d’exploitation agricole*]=A171,[3. Superficie de l’unité agricole (ha)*])),"!","-"))</f>
        <v>!</v>
      </c>
      <c r="J171" s="178" t="str">
        <f>IFERROR(CONCATENATE(VLOOKUP(A171,GM_Table,12,FALSE)," ",(VLOOKUP(A171,GM_Table,13,FALSE))),"")</f>
        <v/>
      </c>
    </row>
    <row r="172" spans="1:10">
      <c r="A172" s="189" t="s">
        <v>1320</v>
      </c>
      <c r="B172" s="190" t="s">
        <v>1320</v>
      </c>
      <c r="C172" s="191">
        <v>1.2532000000000001</v>
      </c>
      <c r="D172" s="200" t="s">
        <v>2194</v>
      </c>
      <c r="E172" s="200" t="s">
        <v>2195</v>
      </c>
      <c r="F172" s="177" t="b">
        <f>IF(ISBLANK(FarmUnit[[#This Row],[1. Identifiant interne d’exploitation agricole*]]),"",IF(ISERROR(MATCH(FarmUnit[[#This Row],[1. Identifiant interne d’exploitation agricole*]],GroupMember[1. Identifiant interne d’exploitation agricole*],0)),FALSE,TRUE))</f>
        <v>1</v>
      </c>
      <c r="G172" s="192" t="str">
        <f t="shared" si="7"/>
        <v>7.0954</v>
      </c>
      <c r="H172" s="192" t="str">
        <f t="shared" si="8"/>
        <v>-7.7665</v>
      </c>
      <c r="I172" s="193" t="str">
        <f t="array" ref="I172">IF(ISBLANK(C172),"",IF(C172=MAX(IF([1. Identifiant interne d’exploitation agricole*]=A172,[3. Superficie de l’unité agricole (ha)*])),"!","-"))</f>
        <v>!</v>
      </c>
      <c r="J172" s="178" t="str">
        <f>IFERROR(CONCATENATE(VLOOKUP(A172,GM_Table,12,FALSE)," ",(VLOOKUP(A172,GM_Table,13,FALSE))),"")</f>
        <v/>
      </c>
    </row>
    <row r="173" spans="1:10">
      <c r="A173" s="189" t="s">
        <v>1325</v>
      </c>
      <c r="B173" s="189" t="s">
        <v>1325</v>
      </c>
      <c r="C173" s="191">
        <v>1.4329000000000001</v>
      </c>
      <c r="D173" s="200" t="s">
        <v>2196</v>
      </c>
      <c r="E173" s="200" t="s">
        <v>2197</v>
      </c>
      <c r="F173" s="177" t="b">
        <f>IF(ISBLANK(FarmUnit[[#This Row],[1. Identifiant interne d’exploitation agricole*]]),"",IF(ISERROR(MATCH(FarmUnit[[#This Row],[1. Identifiant interne d’exploitation agricole*]],GroupMember[1. Identifiant interne d’exploitation agricole*],0)),FALSE,TRUE))</f>
        <v>1</v>
      </c>
      <c r="G173" s="192" t="str">
        <f t="shared" si="7"/>
        <v>7.0916</v>
      </c>
      <c r="H173" s="192" t="str">
        <f t="shared" si="8"/>
        <v>-7.8037</v>
      </c>
      <c r="I173" s="193" t="str">
        <f t="array" ref="I173">IF(ISBLANK(C173),"",IF(C173=MAX(IF([1. Identifiant interne d’exploitation agricole*]=A173,[3. Superficie de l’unité agricole (ha)*])),"!","-"))</f>
        <v>!</v>
      </c>
      <c r="J173" s="178" t="str">
        <f>IFERROR(CONCATENATE(VLOOKUP(A173,GM_Table,12,FALSE)," ",(VLOOKUP(A173,GM_Table,13,FALSE))),"")</f>
        <v/>
      </c>
    </row>
    <row r="174" spans="1:10">
      <c r="A174" s="189" t="s">
        <v>1330</v>
      </c>
      <c r="B174" s="190" t="s">
        <v>1330</v>
      </c>
      <c r="C174" s="191">
        <v>1.6072</v>
      </c>
      <c r="D174" s="200" t="s">
        <v>2198</v>
      </c>
      <c r="E174" s="200" t="s">
        <v>2199</v>
      </c>
      <c r="F174" s="177" t="b">
        <f>IF(ISBLANK(FarmUnit[[#This Row],[1. Identifiant interne d’exploitation agricole*]]),"",IF(ISERROR(MATCH(FarmUnit[[#This Row],[1. Identifiant interne d’exploitation agricole*]],GroupMember[1. Identifiant interne d’exploitation agricole*],0)),FALSE,TRUE))</f>
        <v>1</v>
      </c>
      <c r="G174" s="192" t="str">
        <f t="shared" si="7"/>
        <v>7.1218</v>
      </c>
      <c r="H174" s="192" t="str">
        <f t="shared" si="8"/>
        <v>-7.7726</v>
      </c>
      <c r="I174" s="193" t="str">
        <f t="array" ref="I174">IF(ISBLANK(C174),"",IF(C174=MAX(IF([1. Identifiant interne d’exploitation agricole*]=A174,[3. Superficie de l’unité agricole (ha)*])),"!","-"))</f>
        <v>!</v>
      </c>
      <c r="J174" s="178" t="str">
        <f>IFERROR(CONCATENATE(VLOOKUP(A174,GM_Table,12,FALSE)," ",(VLOOKUP(A174,GM_Table,13,FALSE))),"")</f>
        <v/>
      </c>
    </row>
    <row r="175" spans="1:10">
      <c r="A175" s="189" t="s">
        <v>1332</v>
      </c>
      <c r="B175" s="190" t="s">
        <v>1332</v>
      </c>
      <c r="C175" s="191">
        <v>4.8788</v>
      </c>
      <c r="D175" s="200" t="s">
        <v>2200</v>
      </c>
      <c r="E175" s="200" t="s">
        <v>2201</v>
      </c>
      <c r="F175" s="177" t="b">
        <f>IF(ISBLANK(FarmUnit[[#This Row],[1. Identifiant interne d’exploitation agricole*]]),"",IF(ISERROR(MATCH(FarmUnit[[#This Row],[1. Identifiant interne d’exploitation agricole*]],GroupMember[1. Identifiant interne d’exploitation agricole*],0)),FALSE,TRUE))</f>
        <v>1</v>
      </c>
      <c r="G175" s="192" t="str">
        <f t="shared" si="7"/>
        <v>7.1287</v>
      </c>
      <c r="H175" s="192" t="str">
        <f t="shared" si="8"/>
        <v>-7.7452</v>
      </c>
      <c r="I175" s="193" t="str">
        <f t="array" ref="I175">IF(ISBLANK(C175),"",IF(C175=MAX(IF([1. Identifiant interne d’exploitation agricole*]=A175,[3. Superficie de l’unité agricole (ha)*])),"!","-"))</f>
        <v>!</v>
      </c>
      <c r="J175" s="178" t="str">
        <f>IFERROR(CONCATENATE(VLOOKUP(A175,GM_Table,12,FALSE)," ",(VLOOKUP(A175,GM_Table,13,FALSE))),"")</f>
        <v/>
      </c>
    </row>
    <row r="176" spans="1:10">
      <c r="A176" s="189" t="s">
        <v>1336</v>
      </c>
      <c r="B176" s="190" t="s">
        <v>1336</v>
      </c>
      <c r="C176" s="191">
        <v>0.74609999999999999</v>
      </c>
      <c r="D176" s="200" t="s">
        <v>2202</v>
      </c>
      <c r="E176" s="200" t="s">
        <v>2203</v>
      </c>
      <c r="F176" s="177" t="b">
        <f>IF(ISBLANK(FarmUnit[[#This Row],[1. Identifiant interne d’exploitation agricole*]]),"",IF(ISERROR(MATCH(FarmUnit[[#This Row],[1. Identifiant interne d’exploitation agricole*]],GroupMember[1. Identifiant interne d’exploitation agricole*],0)),FALSE,TRUE))</f>
        <v>1</v>
      </c>
      <c r="G176" s="192" t="str">
        <f t="shared" si="7"/>
        <v>7.0995</v>
      </c>
      <c r="H176" s="192" t="str">
        <f t="shared" si="8"/>
        <v>-7.7516</v>
      </c>
      <c r="I176" s="193" t="str">
        <f t="array" ref="I176">IF(ISBLANK(C176),"",IF(C176=MAX(IF([1. Identifiant interne d’exploitation agricole*]=A176,[3. Superficie de l’unité agricole (ha)*])),"!","-"))</f>
        <v>!</v>
      </c>
      <c r="J176" s="178" t="str">
        <f>IFERROR(CONCATENATE(VLOOKUP(A176,GM_Table,12,FALSE)," ",(VLOOKUP(A176,GM_Table,13,FALSE))),"")</f>
        <v/>
      </c>
    </row>
    <row r="177" spans="1:10">
      <c r="A177" s="189" t="s">
        <v>1340</v>
      </c>
      <c r="B177" s="190" t="s">
        <v>1340</v>
      </c>
      <c r="C177" s="191">
        <v>0.72260000000000002</v>
      </c>
      <c r="D177" s="200" t="s">
        <v>2204</v>
      </c>
      <c r="E177" s="200" t="s">
        <v>2205</v>
      </c>
      <c r="F177" s="177" t="b">
        <f>IF(ISBLANK(FarmUnit[[#This Row],[1. Identifiant interne d’exploitation agricole*]]),"",IF(ISERROR(MATCH(FarmUnit[[#This Row],[1. Identifiant interne d’exploitation agricole*]],GroupMember[1. Identifiant interne d’exploitation agricole*],0)),FALSE,TRUE))</f>
        <v>1</v>
      </c>
      <c r="G177" s="192" t="str">
        <f t="shared" si="7"/>
        <v>7.1303</v>
      </c>
      <c r="H177" s="192" t="str">
        <f t="shared" si="8"/>
        <v>-7.7508</v>
      </c>
      <c r="I177" s="193" t="str">
        <f t="array" ref="I177">IF(ISBLANK(C177),"",IF(C177=MAX(IF([1. Identifiant interne d’exploitation agricole*]=A177,[3. Superficie de l’unité agricole (ha)*])),"!","-"))</f>
        <v>!</v>
      </c>
      <c r="J177" s="178" t="str">
        <f>IFERROR(CONCATENATE(VLOOKUP(A177,GM_Table,12,FALSE)," ",(VLOOKUP(A177,GM_Table,13,FALSE))),"")</f>
        <v/>
      </c>
    </row>
    <row r="178" spans="1:10">
      <c r="A178" s="189" t="s">
        <v>1344</v>
      </c>
      <c r="B178" s="189" t="s">
        <v>1344</v>
      </c>
      <c r="C178" s="191">
        <v>3.4203000000000001</v>
      </c>
      <c r="D178" s="200" t="s">
        <v>2206</v>
      </c>
      <c r="E178" s="200" t="s">
        <v>2207</v>
      </c>
      <c r="F178" s="177" t="b">
        <f>IF(ISBLANK(FarmUnit[[#This Row],[1. Identifiant interne d’exploitation agricole*]]),"",IF(ISERROR(MATCH(FarmUnit[[#This Row],[1. Identifiant interne d’exploitation agricole*]],GroupMember[1. Identifiant interne d’exploitation agricole*],0)),FALSE,TRUE))</f>
        <v>1</v>
      </c>
      <c r="G178" s="192" t="str">
        <f t="shared" si="7"/>
        <v>7.11492</v>
      </c>
      <c r="H178" s="192" t="str">
        <f t="shared" si="8"/>
        <v>-7.73153</v>
      </c>
      <c r="I178" s="193" t="str">
        <f t="array" ref="I178">IF(ISBLANK(C178),"",IF(C178=MAX(IF([1. Identifiant interne d’exploitation agricole*]=A178,[3. Superficie de l’unité agricole (ha)*])),"!","-"))</f>
        <v>!</v>
      </c>
      <c r="J178" s="178" t="str">
        <f>IFERROR(CONCATENATE(VLOOKUP(A178,GM_Table,12,FALSE)," ",(VLOOKUP(A178,GM_Table,13,FALSE))),"")</f>
        <v/>
      </c>
    </row>
    <row r="179" spans="1:10">
      <c r="A179" s="189" t="s">
        <v>1348</v>
      </c>
      <c r="B179" s="190" t="s">
        <v>1348</v>
      </c>
      <c r="C179" s="191">
        <v>1.9568000000000001</v>
      </c>
      <c r="D179" s="200" t="s">
        <v>2208</v>
      </c>
      <c r="E179" s="200" t="s">
        <v>2209</v>
      </c>
      <c r="F179" s="177" t="b">
        <f>IF(ISBLANK(FarmUnit[[#This Row],[1. Identifiant interne d’exploitation agricole*]]),"",IF(ISERROR(MATCH(FarmUnit[[#This Row],[1. Identifiant interne d’exploitation agricole*]],GroupMember[1. Identifiant interne d’exploitation agricole*],0)),FALSE,TRUE))</f>
        <v>1</v>
      </c>
      <c r="G179" s="192" t="str">
        <f t="shared" si="7"/>
        <v>7.1079</v>
      </c>
      <c r="H179" s="192" t="str">
        <f t="shared" si="8"/>
        <v>-7.7461</v>
      </c>
      <c r="I179" s="193" t="str">
        <f t="array" ref="I179">IF(ISBLANK(C179),"",IF(C179=MAX(IF([1. Identifiant interne d’exploitation agricole*]=A179,[3. Superficie de l’unité agricole (ha)*])),"!","-"))</f>
        <v>!</v>
      </c>
      <c r="J179" s="178" t="str">
        <f>IFERROR(CONCATENATE(VLOOKUP(A179,GM_Table,12,FALSE)," ",(VLOOKUP(A179,GM_Table,13,FALSE))),"")</f>
        <v/>
      </c>
    </row>
    <row r="180" spans="1:10">
      <c r="A180" s="189" t="s">
        <v>1352</v>
      </c>
      <c r="B180" s="190" t="s">
        <v>1352</v>
      </c>
      <c r="C180" s="191">
        <v>0.3352</v>
      </c>
      <c r="D180" s="200" t="s">
        <v>2210</v>
      </c>
      <c r="E180" s="200" t="s">
        <v>2211</v>
      </c>
      <c r="F180" s="177" t="b">
        <f>IF(ISBLANK(FarmUnit[[#This Row],[1. Identifiant interne d’exploitation agricole*]]),"",IF(ISERROR(MATCH(FarmUnit[[#This Row],[1. Identifiant interne d’exploitation agricole*]],GroupMember[1. Identifiant interne d’exploitation agricole*],0)),FALSE,TRUE))</f>
        <v>1</v>
      </c>
      <c r="G180" s="192" t="str">
        <f t="shared" si="7"/>
        <v>7.0913</v>
      </c>
      <c r="H180" s="192" t="str">
        <f t="shared" si="8"/>
        <v>-7.7449</v>
      </c>
      <c r="I180" s="193" t="str">
        <f t="array" ref="I180">IF(ISBLANK(C180),"",IF(C180=MAX(IF([1. Identifiant interne d’exploitation agricole*]=A180,[3. Superficie de l’unité agricole (ha)*])),"!","-"))</f>
        <v>!</v>
      </c>
      <c r="J180" s="178" t="str">
        <f>IFERROR(CONCATENATE(VLOOKUP(A180,GM_Table,12,FALSE)," ",(VLOOKUP(A180,GM_Table,13,FALSE))),"")</f>
        <v/>
      </c>
    </row>
    <row r="181" spans="1:10">
      <c r="A181" s="189" t="s">
        <v>1355</v>
      </c>
      <c r="B181" s="190" t="s">
        <v>1355</v>
      </c>
      <c r="C181" s="191">
        <v>0.93759999999999999</v>
      </c>
      <c r="D181" s="200" t="s">
        <v>2212</v>
      </c>
      <c r="E181" s="200" t="s">
        <v>2213</v>
      </c>
      <c r="F181" s="177" t="b">
        <f>IF(ISBLANK(FarmUnit[[#This Row],[1. Identifiant interne d’exploitation agricole*]]),"",IF(ISERROR(MATCH(FarmUnit[[#This Row],[1. Identifiant interne d’exploitation agricole*]],GroupMember[1. Identifiant interne d’exploitation agricole*],0)),FALSE,TRUE))</f>
        <v>1</v>
      </c>
      <c r="G181" s="192" t="str">
        <f t="shared" si="7"/>
        <v>7.0828</v>
      </c>
      <c r="H181" s="192" t="str">
        <f t="shared" si="8"/>
        <v>-7.7561</v>
      </c>
      <c r="I181" s="193" t="str">
        <f t="array" ref="I181">IF(ISBLANK(C181),"",IF(C181=MAX(IF([1. Identifiant interne d’exploitation agricole*]=A181,[3. Superficie de l’unité agricole (ha)*])),"!","-"))</f>
        <v>!</v>
      </c>
      <c r="J181" s="178" t="str">
        <f>IFERROR(CONCATENATE(VLOOKUP(A181,GM_Table,12,FALSE)," ",(VLOOKUP(A181,GM_Table,13,FALSE))),"")</f>
        <v/>
      </c>
    </row>
    <row r="182" spans="1:10">
      <c r="A182" s="189" t="s">
        <v>1360</v>
      </c>
      <c r="B182" s="189" t="s">
        <v>1360</v>
      </c>
      <c r="C182" s="191">
        <v>2.0085999999999999</v>
      </c>
      <c r="D182" s="200" t="s">
        <v>2214</v>
      </c>
      <c r="E182" s="200" t="s">
        <v>2215</v>
      </c>
      <c r="F182" s="177" t="b">
        <f>IF(ISBLANK(FarmUnit[[#This Row],[1. Identifiant interne d’exploitation agricole*]]),"",IF(ISERROR(MATCH(FarmUnit[[#This Row],[1. Identifiant interne d’exploitation agricole*]],GroupMember[1. Identifiant interne d’exploitation agricole*],0)),FALSE,TRUE))</f>
        <v>1</v>
      </c>
      <c r="G182" s="192" t="str">
        <f t="shared" si="7"/>
        <v>7.1326</v>
      </c>
      <c r="H182" s="192" t="str">
        <f t="shared" si="8"/>
        <v>-7.7626</v>
      </c>
      <c r="I182" s="193" t="str">
        <f t="array" ref="I182">IF(ISBLANK(C182),"",IF(C182=MAX(IF([1. Identifiant interne d’exploitation agricole*]=A182,[3. Superficie de l’unité agricole (ha)*])),"!","-"))</f>
        <v>!</v>
      </c>
      <c r="J182" s="178" t="str">
        <f>IFERROR(CONCATENATE(VLOOKUP(A182,GM_Table,12,FALSE)," ",(VLOOKUP(A182,GM_Table,13,FALSE))),"")</f>
        <v/>
      </c>
    </row>
    <row r="183" spans="1:10">
      <c r="A183" s="189" t="s">
        <v>1363</v>
      </c>
      <c r="B183" s="190" t="s">
        <v>1363</v>
      </c>
      <c r="C183" s="191">
        <v>1.1625000000000001</v>
      </c>
      <c r="D183" s="200" t="s">
        <v>2216</v>
      </c>
      <c r="E183" s="200" t="s">
        <v>2217</v>
      </c>
      <c r="F183" s="177" t="b">
        <f>IF(ISBLANK(FarmUnit[[#This Row],[1. Identifiant interne d’exploitation agricole*]]),"",IF(ISERROR(MATCH(FarmUnit[[#This Row],[1. Identifiant interne d’exploitation agricole*]],GroupMember[1. Identifiant interne d’exploitation agricole*],0)),FALSE,TRUE))</f>
        <v>1</v>
      </c>
      <c r="G183" s="192" t="str">
        <f t="shared" ref="G183:G228" si="9">IF(D183=0,"",D183)</f>
        <v>7.0806</v>
      </c>
      <c r="H183" s="192" t="str">
        <f t="shared" ref="H183:H228" si="10">IF(E183=0,"",E183)</f>
        <v>-7.7728</v>
      </c>
      <c r="I183" s="193" t="str">
        <f t="array" ref="I183">IF(ISBLANK(C183),"",IF(C183=MAX(IF([1. Identifiant interne d’exploitation agricole*]=A183,[3. Superficie de l’unité agricole (ha)*])),"!","-"))</f>
        <v>!</v>
      </c>
      <c r="J183" s="178" t="str">
        <f>IFERROR(CONCATENATE(VLOOKUP(A183,GM_Table,12,FALSE)," ",(VLOOKUP(A183,GM_Table,13,FALSE))),"")</f>
        <v/>
      </c>
    </row>
    <row r="184" spans="1:10">
      <c r="A184" s="189" t="s">
        <v>1367</v>
      </c>
      <c r="B184" s="190" t="s">
        <v>1367</v>
      </c>
      <c r="C184" s="191">
        <v>2.7513000000000001</v>
      </c>
      <c r="D184" s="200" t="s">
        <v>2218</v>
      </c>
      <c r="E184" s="200" t="s">
        <v>2219</v>
      </c>
      <c r="F184" s="177" t="b">
        <f>IF(ISBLANK(FarmUnit[[#This Row],[1. Identifiant interne d’exploitation agricole*]]),"",IF(ISERROR(MATCH(FarmUnit[[#This Row],[1. Identifiant interne d’exploitation agricole*]],GroupMember[1. Identifiant interne d’exploitation agricole*],0)),FALSE,TRUE))</f>
        <v>1</v>
      </c>
      <c r="G184" s="192" t="str">
        <f t="shared" si="9"/>
        <v>7.0882</v>
      </c>
      <c r="H184" s="192" t="str">
        <f t="shared" si="10"/>
        <v>-7.7603</v>
      </c>
      <c r="I184" s="193" t="str">
        <f t="array" ref="I184">IF(ISBLANK(C184),"",IF(C184=MAX(IF([1. Identifiant interne d’exploitation agricole*]=A184,[3. Superficie de l’unité agricole (ha)*])),"!","-"))</f>
        <v>!</v>
      </c>
      <c r="J184" s="178" t="str">
        <f>IFERROR(CONCATENATE(VLOOKUP(A184,GM_Table,12,FALSE)," ",(VLOOKUP(A184,GM_Table,13,FALSE))),"")</f>
        <v/>
      </c>
    </row>
    <row r="185" spans="1:10">
      <c r="A185" s="189" t="s">
        <v>1371</v>
      </c>
      <c r="B185" s="190" t="s">
        <v>1371</v>
      </c>
      <c r="C185" s="191">
        <v>2.4681999999999999</v>
      </c>
      <c r="D185" s="200" t="s">
        <v>2220</v>
      </c>
      <c r="E185" s="200" t="s">
        <v>2221</v>
      </c>
      <c r="F185" s="177" t="b">
        <f>IF(ISBLANK(FarmUnit[[#This Row],[1. Identifiant interne d’exploitation agricole*]]),"",IF(ISERROR(MATCH(FarmUnit[[#This Row],[1. Identifiant interne d’exploitation agricole*]],GroupMember[1. Identifiant interne d’exploitation agricole*],0)),FALSE,TRUE))</f>
        <v>1</v>
      </c>
      <c r="G185" s="192" t="str">
        <f t="shared" si="9"/>
        <v>7.0512</v>
      </c>
      <c r="H185" s="192" t="str">
        <f t="shared" si="10"/>
        <v>-7.779</v>
      </c>
      <c r="I185" s="193" t="str">
        <f t="array" ref="I185">IF(ISBLANK(C185),"",IF(C185=MAX(IF([1. Identifiant interne d’exploitation agricole*]=A185,[3. Superficie de l’unité agricole (ha)*])),"!","-"))</f>
        <v>!</v>
      </c>
      <c r="J185" s="178" t="str">
        <f>IFERROR(CONCATENATE(VLOOKUP(A185,GM_Table,12,FALSE)," ",(VLOOKUP(A185,GM_Table,13,FALSE))),"")</f>
        <v/>
      </c>
    </row>
    <row r="186" spans="1:10">
      <c r="A186" s="189" t="s">
        <v>1376</v>
      </c>
      <c r="B186" s="190" t="s">
        <v>1376</v>
      </c>
      <c r="C186" s="191">
        <v>1.3663000000000001</v>
      </c>
      <c r="D186" s="200" t="s">
        <v>2222</v>
      </c>
      <c r="E186" s="200" t="s">
        <v>2223</v>
      </c>
      <c r="F186" s="177" t="b">
        <f>IF(ISBLANK(FarmUnit[[#This Row],[1. Identifiant interne d’exploitation agricole*]]),"",IF(ISERROR(MATCH(FarmUnit[[#This Row],[1. Identifiant interne d’exploitation agricole*]],GroupMember[1. Identifiant interne d’exploitation agricole*],0)),FALSE,TRUE))</f>
        <v>1</v>
      </c>
      <c r="G186" s="192" t="str">
        <f t="shared" si="9"/>
        <v>7.11648</v>
      </c>
      <c r="H186" s="192" t="str">
        <f t="shared" si="10"/>
        <v>-7.7356</v>
      </c>
      <c r="I186" s="193" t="str">
        <f t="array" ref="I186">IF(ISBLANK(C186),"",IF(C186=MAX(IF([1. Identifiant interne d’exploitation agricole*]=A186,[3. Superficie de l’unité agricole (ha)*])),"!","-"))</f>
        <v>!</v>
      </c>
      <c r="J186" s="178" t="str">
        <f>IFERROR(CONCATENATE(VLOOKUP(A186,GM_Table,12,FALSE)," ",(VLOOKUP(A186,GM_Table,13,FALSE))),"")</f>
        <v/>
      </c>
    </row>
    <row r="187" spans="1:10" ht="15">
      <c r="A187" s="189" t="s">
        <v>1380</v>
      </c>
      <c r="B187" s="190" t="s">
        <v>1380</v>
      </c>
      <c r="C187" s="191">
        <v>1.9247000000000001</v>
      </c>
      <c r="D187" s="197" t="s">
        <v>2224</v>
      </c>
      <c r="E187" s="197" t="s">
        <v>2225</v>
      </c>
      <c r="F187" s="177" t="b">
        <f>IF(ISBLANK(FarmUnit[[#This Row],[1. Identifiant interne d’exploitation agricole*]]),"",IF(ISERROR(MATCH(FarmUnit[[#This Row],[1. Identifiant interne d’exploitation agricole*]],GroupMember[1. Identifiant interne d’exploitation agricole*],0)),FALSE,TRUE))</f>
        <v>1</v>
      </c>
      <c r="G187" s="192" t="str">
        <f t="shared" si="9"/>
        <v>7.09132</v>
      </c>
      <c r="H187" s="192" t="str">
        <f t="shared" si="10"/>
        <v>-7.68125</v>
      </c>
      <c r="I187" s="193" t="str">
        <f t="array" ref="I187">IF(ISBLANK(C187),"",IF(C187=MAX(IF([1. Identifiant interne d’exploitation agricole*]=A187,[3. Superficie de l’unité agricole (ha)*])),"!","-"))</f>
        <v>!</v>
      </c>
      <c r="J187" s="178" t="str">
        <f>IFERROR(CONCATENATE(VLOOKUP(A187,GM_Table,12,FALSE)," ",(VLOOKUP(A187,GM_Table,13,FALSE))),"")</f>
        <v/>
      </c>
    </row>
    <row r="188" spans="1:10">
      <c r="A188" s="189" t="s">
        <v>1385</v>
      </c>
      <c r="B188" s="190" t="s">
        <v>1385</v>
      </c>
      <c r="C188" s="191">
        <v>0.92979999999999996</v>
      </c>
      <c r="D188" s="200" t="s">
        <v>2226</v>
      </c>
      <c r="E188" s="200" t="s">
        <v>2227</v>
      </c>
      <c r="F188" s="177" t="b">
        <f>IF(ISBLANK(FarmUnit[[#This Row],[1. Identifiant interne d’exploitation agricole*]]),"",IF(ISERROR(MATCH(FarmUnit[[#This Row],[1. Identifiant interne d’exploitation agricole*]],GroupMember[1. Identifiant interne d’exploitation agricole*],0)),FALSE,TRUE))</f>
        <v>1</v>
      </c>
      <c r="G188" s="192" t="str">
        <f t="shared" si="9"/>
        <v>7.06227</v>
      </c>
      <c r="H188" s="192" t="str">
        <f t="shared" si="10"/>
        <v>-7.76567</v>
      </c>
      <c r="I188" s="193" t="str">
        <f t="array" ref="I188">IF(ISBLANK(C188),"",IF(C188=MAX(IF([1. Identifiant interne d’exploitation agricole*]=A188,[3. Superficie de l’unité agricole (ha)*])),"!","-"))</f>
        <v>!</v>
      </c>
      <c r="J188" s="178" t="str">
        <f>IFERROR(CONCATENATE(VLOOKUP(A188,GM_Table,12,FALSE)," ",(VLOOKUP(A188,GM_Table,13,FALSE))),"")</f>
        <v/>
      </c>
    </row>
    <row r="189" spans="1:10">
      <c r="A189" s="189" t="s">
        <v>1387</v>
      </c>
      <c r="B189" s="190" t="s">
        <v>1387</v>
      </c>
      <c r="C189" s="191">
        <v>0.69530000000000003</v>
      </c>
      <c r="D189" s="200" t="s">
        <v>2228</v>
      </c>
      <c r="E189" s="200" t="s">
        <v>2229</v>
      </c>
      <c r="F189" s="177" t="b">
        <f>IF(ISBLANK(FarmUnit[[#This Row],[1. Identifiant interne d’exploitation agricole*]]),"",IF(ISERROR(MATCH(FarmUnit[[#This Row],[1. Identifiant interne d’exploitation agricole*]],GroupMember[1. Identifiant interne d’exploitation agricole*],0)),FALSE,TRUE))</f>
        <v>1</v>
      </c>
      <c r="G189" s="192" t="str">
        <f t="shared" si="9"/>
        <v>7.12058</v>
      </c>
      <c r="H189" s="192" t="str">
        <f t="shared" si="10"/>
        <v>-7.73736</v>
      </c>
      <c r="I189" s="193" t="str">
        <f t="array" ref="I189">IF(ISBLANK(C189),"",IF(C189=MAX(IF([1. Identifiant interne d’exploitation agricole*]=A189,[3. Superficie de l’unité agricole (ha)*])),"!","-"))</f>
        <v>!</v>
      </c>
      <c r="J189" s="178" t="str">
        <f>IFERROR(CONCATENATE(VLOOKUP(A189,GM_Table,12,FALSE)," ",(VLOOKUP(A189,GM_Table,13,FALSE))),"")</f>
        <v/>
      </c>
    </row>
    <row r="190" spans="1:10">
      <c r="A190" s="189" t="s">
        <v>1390</v>
      </c>
      <c r="B190" s="190" t="s">
        <v>1390</v>
      </c>
      <c r="C190" s="191">
        <v>6.7637999999999998</v>
      </c>
      <c r="D190" s="200" t="s">
        <v>2230</v>
      </c>
      <c r="E190" s="200" t="s">
        <v>2231</v>
      </c>
      <c r="F190" s="177" t="b">
        <f>IF(ISBLANK(FarmUnit[[#This Row],[1. Identifiant interne d’exploitation agricole*]]),"",IF(ISERROR(MATCH(FarmUnit[[#This Row],[1. Identifiant interne d’exploitation agricole*]],GroupMember[1. Identifiant interne d’exploitation agricole*],0)),FALSE,TRUE))</f>
        <v>1</v>
      </c>
      <c r="G190" s="192" t="str">
        <f t="shared" si="9"/>
        <v>7.047662</v>
      </c>
      <c r="H190" s="192" t="str">
        <f t="shared" si="10"/>
        <v>-7.770008</v>
      </c>
      <c r="I190" s="193" t="str">
        <f t="array" ref="I190">IF(ISBLANK(C190),"",IF(C190=MAX(IF([1. Identifiant interne d’exploitation agricole*]=A190,[3. Superficie de l’unité agricole (ha)*])),"!","-"))</f>
        <v>!</v>
      </c>
      <c r="J190" s="178" t="str">
        <f>IFERROR(CONCATENATE(VLOOKUP(A190,GM_Table,12,FALSE)," ",(VLOOKUP(A190,GM_Table,13,FALSE))),"")</f>
        <v/>
      </c>
    </row>
    <row r="191" spans="1:10">
      <c r="A191" s="189" t="s">
        <v>1395</v>
      </c>
      <c r="B191" s="190" t="s">
        <v>1395</v>
      </c>
      <c r="C191" s="191">
        <v>2.8378999999999999</v>
      </c>
      <c r="D191" s="200" t="s">
        <v>2232</v>
      </c>
      <c r="E191" s="200" t="s">
        <v>2233</v>
      </c>
      <c r="F191" s="177" t="b">
        <f>IF(ISBLANK(FarmUnit[[#This Row],[1. Identifiant interne d’exploitation agricole*]]),"",IF(ISERROR(MATCH(FarmUnit[[#This Row],[1. Identifiant interne d’exploitation agricole*]],GroupMember[1. Identifiant interne d’exploitation agricole*],0)),FALSE,TRUE))</f>
        <v>1</v>
      </c>
      <c r="G191" s="192" t="str">
        <f t="shared" si="9"/>
        <v>7.04131</v>
      </c>
      <c r="H191" s="192" t="str">
        <f t="shared" si="10"/>
        <v>-7.780017</v>
      </c>
      <c r="I191" s="193" t="str">
        <f t="array" ref="I191">IF(ISBLANK(C191),"",IF(C191=MAX(IF([1. Identifiant interne d’exploitation agricole*]=A191,[3. Superficie de l’unité agricole (ha)*])),"!","-"))</f>
        <v>!</v>
      </c>
      <c r="J191" s="178" t="str">
        <f>IFERROR(CONCATENATE(VLOOKUP(A191,GM_Table,12,FALSE)," ",(VLOOKUP(A191,GM_Table,13,FALSE))),"")</f>
        <v/>
      </c>
    </row>
    <row r="192" spans="1:10">
      <c r="A192" s="189" t="s">
        <v>1398</v>
      </c>
      <c r="B192" s="190" t="s">
        <v>1398</v>
      </c>
      <c r="C192" s="191">
        <v>2.1526000000000001</v>
      </c>
      <c r="D192" s="200" t="s">
        <v>2234</v>
      </c>
      <c r="E192" s="200" t="s">
        <v>2235</v>
      </c>
      <c r="F192" s="177" t="b">
        <f>IF(ISBLANK(FarmUnit[[#This Row],[1. Identifiant interne d’exploitation agricole*]]),"",IF(ISERROR(MATCH(FarmUnit[[#This Row],[1. Identifiant interne d’exploitation agricole*]],GroupMember[1. Identifiant interne d’exploitation agricole*],0)),FALSE,TRUE))</f>
        <v>1</v>
      </c>
      <c r="G192" s="192" t="str">
        <f t="shared" si="9"/>
        <v>7.049167</v>
      </c>
      <c r="H192" s="192" t="str">
        <f t="shared" si="10"/>
        <v>-7.769199</v>
      </c>
      <c r="I192" s="193" t="str">
        <f t="array" ref="I192">IF(ISBLANK(C192),"",IF(C192=MAX(IF([1. Identifiant interne d’exploitation agricole*]=A192,[3. Superficie de l’unité agricole (ha)*])),"!","-"))</f>
        <v>!</v>
      </c>
      <c r="J192" s="178" t="str">
        <f>IFERROR(CONCATENATE(VLOOKUP(A192,GM_Table,12,FALSE)," ",(VLOOKUP(A192,GM_Table,13,FALSE))),"")</f>
        <v/>
      </c>
    </row>
    <row r="193" spans="1:10">
      <c r="A193" s="189" t="s">
        <v>1401</v>
      </c>
      <c r="B193" s="189" t="s">
        <v>1401</v>
      </c>
      <c r="C193" s="191">
        <v>5.6</v>
      </c>
      <c r="D193" s="200" t="s">
        <v>2236</v>
      </c>
      <c r="E193" s="200" t="s">
        <v>2237</v>
      </c>
      <c r="F193" s="177" t="b">
        <f>IF(ISBLANK(FarmUnit[[#This Row],[1. Identifiant interne d’exploitation agricole*]]),"",IF(ISERROR(MATCH(FarmUnit[[#This Row],[1. Identifiant interne d’exploitation agricole*]],GroupMember[1. Identifiant interne d’exploitation agricole*],0)),FALSE,TRUE))</f>
        <v>1</v>
      </c>
      <c r="G193" s="192" t="str">
        <f t="shared" si="9"/>
        <v>7.12166</v>
      </c>
      <c r="H193" s="192" t="str">
        <f t="shared" si="10"/>
        <v>-7.73615</v>
      </c>
      <c r="I193" s="193" t="str">
        <f t="array" ref="I193">IF(ISBLANK(C193),"",IF(C193=MAX(IF([1. Identifiant interne d’exploitation agricole*]=A193,[3. Superficie de l’unité agricole (ha)*])),"!","-"))</f>
        <v>!</v>
      </c>
      <c r="J193" s="178" t="str">
        <f>IFERROR(CONCATENATE(VLOOKUP(A193,GM_Table,12,FALSE)," ",(VLOOKUP(A193,GM_Table,13,FALSE))),"")</f>
        <v/>
      </c>
    </row>
    <row r="194" spans="1:10">
      <c r="A194" s="189" t="s">
        <v>1406</v>
      </c>
      <c r="B194" s="189" t="s">
        <v>1406</v>
      </c>
      <c r="C194" s="191">
        <v>1.4314</v>
      </c>
      <c r="D194" s="200" t="s">
        <v>2238</v>
      </c>
      <c r="E194" s="200" t="s">
        <v>2239</v>
      </c>
      <c r="F194" s="177" t="b">
        <f>IF(ISBLANK(FarmUnit[[#This Row],[1. Identifiant interne d’exploitation agricole*]]),"",IF(ISERROR(MATCH(FarmUnit[[#This Row],[1. Identifiant interne d’exploitation agricole*]],GroupMember[1. Identifiant interne d’exploitation agricole*],0)),FALSE,TRUE))</f>
        <v>1</v>
      </c>
      <c r="G194" s="192" t="str">
        <f t="shared" si="9"/>
        <v>7.026105</v>
      </c>
      <c r="H194" s="192" t="str">
        <f t="shared" si="10"/>
        <v>-7.777334</v>
      </c>
      <c r="I194" s="193" t="str">
        <f t="array" ref="I194">IF(ISBLANK(C194),"",IF(C194=MAX(IF([1. Identifiant interne d’exploitation agricole*]=A194,[3. Superficie de l’unité agricole (ha)*])),"!","-"))</f>
        <v>!</v>
      </c>
      <c r="J194" s="178" t="str">
        <f>IFERROR(CONCATENATE(VLOOKUP(A194,GM_Table,12,FALSE)," ",(VLOOKUP(A194,GM_Table,13,FALSE))),"")</f>
        <v/>
      </c>
    </row>
    <row r="195" spans="1:10">
      <c r="A195" s="189" t="s">
        <v>1409</v>
      </c>
      <c r="B195" s="190" t="s">
        <v>1409</v>
      </c>
      <c r="C195" s="191">
        <v>1.9187000000000001</v>
      </c>
      <c r="D195" s="200" t="s">
        <v>2240</v>
      </c>
      <c r="E195" s="200" t="s">
        <v>2241</v>
      </c>
      <c r="F195" s="177" t="b">
        <f>IF(ISBLANK(FarmUnit[[#This Row],[1. Identifiant interne d’exploitation agricole*]]),"",IF(ISERROR(MATCH(FarmUnit[[#This Row],[1. Identifiant interne d’exploitation agricole*]],GroupMember[1. Identifiant interne d’exploitation agricole*],0)),FALSE,TRUE))</f>
        <v>1</v>
      </c>
      <c r="G195" s="192" t="str">
        <f t="shared" si="9"/>
        <v>7.08547</v>
      </c>
      <c r="H195" s="192" t="str">
        <f t="shared" si="10"/>
        <v>-7.6868</v>
      </c>
      <c r="I195" s="193" t="str">
        <f t="array" ref="I195">IF(ISBLANK(C195),"",IF(C195=MAX(IF([1. Identifiant interne d’exploitation agricole*]=A195,[3. Superficie de l’unité agricole (ha)*])),"!","-"))</f>
        <v>!</v>
      </c>
      <c r="J195" s="178" t="str">
        <f>IFERROR(CONCATENATE(VLOOKUP(A195,GM_Table,12,FALSE)," ",(VLOOKUP(A195,GM_Table,13,FALSE))),"")</f>
        <v/>
      </c>
    </row>
    <row r="196" spans="1:10">
      <c r="A196" s="189" t="s">
        <v>1414</v>
      </c>
      <c r="B196" s="190" t="s">
        <v>1414</v>
      </c>
      <c r="C196" s="191">
        <v>1.6782999999999999</v>
      </c>
      <c r="D196" s="200" t="s">
        <v>2242</v>
      </c>
      <c r="E196" s="200" t="s">
        <v>2243</v>
      </c>
      <c r="F196" s="177" t="b">
        <f>IF(ISBLANK(FarmUnit[[#This Row],[1. Identifiant interne d’exploitation agricole*]]),"",IF(ISERROR(MATCH(FarmUnit[[#This Row],[1. Identifiant interne d’exploitation agricole*]],GroupMember[1. Identifiant interne d’exploitation agricole*],0)),FALSE,TRUE))</f>
        <v>1</v>
      </c>
      <c r="G196" s="192" t="str">
        <f t="shared" si="9"/>
        <v>7.06344</v>
      </c>
      <c r="H196" s="192" t="str">
        <f t="shared" si="10"/>
        <v>-7.67615</v>
      </c>
      <c r="I196" s="193" t="str">
        <f t="array" ref="I196">IF(ISBLANK(C196),"",IF(C196=MAX(IF([1. Identifiant interne d’exploitation agricole*]=A196,[3. Superficie de l’unité agricole (ha)*])),"!","-"))</f>
        <v>!</v>
      </c>
      <c r="J196" s="178" t="str">
        <f>IFERROR(CONCATENATE(VLOOKUP(A196,GM_Table,12,FALSE)," ",(VLOOKUP(A196,GM_Table,13,FALSE))),"")</f>
        <v/>
      </c>
    </row>
    <row r="197" spans="1:10">
      <c r="A197" s="189" t="s">
        <v>1418</v>
      </c>
      <c r="B197" s="189" t="s">
        <v>1418</v>
      </c>
      <c r="C197" s="191">
        <v>2.8050999999999999</v>
      </c>
      <c r="D197" s="200" t="s">
        <v>2244</v>
      </c>
      <c r="E197" s="200" t="s">
        <v>2245</v>
      </c>
      <c r="F197" s="177" t="b">
        <f>IF(ISBLANK(FarmUnit[[#This Row],[1. Identifiant interne d’exploitation agricole*]]),"",IF(ISERROR(MATCH(FarmUnit[[#This Row],[1. Identifiant interne d’exploitation agricole*]],GroupMember[1. Identifiant interne d’exploitation agricole*],0)),FALSE,TRUE))</f>
        <v>1</v>
      </c>
      <c r="G197" s="192" t="str">
        <f t="shared" si="9"/>
        <v>7.032424</v>
      </c>
      <c r="H197" s="192" t="str">
        <f t="shared" si="10"/>
        <v>-7.793558</v>
      </c>
      <c r="I197" s="193" t="str">
        <f t="array" ref="I197">IF(ISBLANK(C197),"",IF(C197=MAX(IF([1. Identifiant interne d’exploitation agricole*]=A197,[3. Superficie de l’unité agricole (ha)*])),"!","-"))</f>
        <v>!</v>
      </c>
      <c r="J197" s="178" t="str">
        <f>IFERROR(CONCATENATE(VLOOKUP(A197,GM_Table,12,FALSE)," ",(VLOOKUP(A197,GM_Table,13,FALSE))),"")</f>
        <v/>
      </c>
    </row>
    <row r="198" spans="1:10" ht="15">
      <c r="A198" s="189" t="s">
        <v>1421</v>
      </c>
      <c r="B198" s="190" t="s">
        <v>1421</v>
      </c>
      <c r="C198" s="191">
        <v>1.2374000000000001</v>
      </c>
      <c r="D198" s="197" t="s">
        <v>2246</v>
      </c>
      <c r="E198" s="197" t="s">
        <v>2247</v>
      </c>
      <c r="F198" s="177" t="b">
        <f>IF(ISBLANK(FarmUnit[[#This Row],[1. Identifiant interne d’exploitation agricole*]]),"",IF(ISERROR(MATCH(FarmUnit[[#This Row],[1. Identifiant interne d’exploitation agricole*]],GroupMember[1. Identifiant interne d’exploitation agricole*],0)),FALSE,TRUE))</f>
        <v>1</v>
      </c>
      <c r="G198" s="192" t="str">
        <f t="shared" si="9"/>
        <v>7.14414</v>
      </c>
      <c r="H198" s="192" t="str">
        <f t="shared" si="10"/>
        <v>-7.71862</v>
      </c>
      <c r="I198" s="193" t="str">
        <f t="array" ref="I198">IF(ISBLANK(C198),"",IF(C198=MAX(IF([1. Identifiant interne d’exploitation agricole*]=A198,[3. Superficie de l’unité agricole (ha)*])),"!","-"))</f>
        <v>!</v>
      </c>
      <c r="J198" s="178" t="str">
        <f>IFERROR(CONCATENATE(VLOOKUP(A198,GM_Table,12,FALSE)," ",(VLOOKUP(A198,GM_Table,13,FALSE))),"")</f>
        <v/>
      </c>
    </row>
    <row r="199" spans="1:10">
      <c r="A199" s="189" t="s">
        <v>1423</v>
      </c>
      <c r="B199" s="189" t="s">
        <v>1423</v>
      </c>
      <c r="C199" s="191">
        <v>1.9401999999999999</v>
      </c>
      <c r="D199" s="200" t="s">
        <v>2248</v>
      </c>
      <c r="E199" s="200" t="s">
        <v>2249</v>
      </c>
      <c r="F199" s="177" t="b">
        <f>IF(ISBLANK(FarmUnit[[#This Row],[1. Identifiant interne d’exploitation agricole*]]),"",IF(ISERROR(MATCH(FarmUnit[[#This Row],[1. Identifiant interne d’exploitation agricole*]],GroupMember[1. Identifiant interne d’exploitation agricole*],0)),FALSE,TRUE))</f>
        <v>1</v>
      </c>
      <c r="G199" s="192" t="str">
        <f t="shared" si="9"/>
        <v>7.039629</v>
      </c>
      <c r="H199" s="192" t="str">
        <f t="shared" si="10"/>
        <v>-7.788637</v>
      </c>
      <c r="I199" s="193" t="str">
        <f t="array" ref="I199">IF(ISBLANK(C199),"",IF(C199=MAX(IF([1. Identifiant interne d’exploitation agricole*]=A199,[3. Superficie de l’unité agricole (ha)*])),"!","-"))</f>
        <v>!</v>
      </c>
      <c r="J199" s="178" t="str">
        <f>IFERROR(CONCATENATE(VLOOKUP(A199,GM_Table,12,FALSE)," ",(VLOOKUP(A199,GM_Table,13,FALSE))),"")</f>
        <v/>
      </c>
    </row>
    <row r="200" spans="1:10">
      <c r="A200" s="189" t="s">
        <v>1427</v>
      </c>
      <c r="B200" s="190" t="s">
        <v>1427</v>
      </c>
      <c r="C200" s="191">
        <v>2.2233000000000001</v>
      </c>
      <c r="D200" s="200" t="s">
        <v>2250</v>
      </c>
      <c r="E200" s="200" t="s">
        <v>2251</v>
      </c>
      <c r="F200" s="177" t="b">
        <f>IF(ISBLANK(FarmUnit[[#This Row],[1. Identifiant interne d’exploitation agricole*]]),"",IF(ISERROR(MATCH(FarmUnit[[#This Row],[1. Identifiant interne d’exploitation agricole*]],GroupMember[1. Identifiant interne d’exploitation agricole*],0)),FALSE,TRUE))</f>
        <v>1</v>
      </c>
      <c r="G200" s="192" t="str">
        <f t="shared" si="9"/>
        <v>7.12214</v>
      </c>
      <c r="H200" s="192" t="str">
        <f t="shared" si="10"/>
        <v>-7.74306</v>
      </c>
      <c r="I200" s="193" t="str">
        <f t="array" ref="I200">IF(ISBLANK(C200),"",IF(C200=MAX(IF([1. Identifiant interne d’exploitation agricole*]=A200,[3. Superficie de l’unité agricole (ha)*])),"!","-"))</f>
        <v>!</v>
      </c>
      <c r="J200" s="178" t="str">
        <f>IFERROR(CONCATENATE(VLOOKUP(A200,GM_Table,12,FALSE)," ",(VLOOKUP(A200,GM_Table,13,FALSE))),"")</f>
        <v/>
      </c>
    </row>
    <row r="201" spans="1:10">
      <c r="A201" s="189" t="s">
        <v>1431</v>
      </c>
      <c r="B201" s="190" t="s">
        <v>1431</v>
      </c>
      <c r="C201" s="191">
        <v>1.0375000000000001</v>
      </c>
      <c r="D201" s="200" t="s">
        <v>2252</v>
      </c>
      <c r="E201" s="200" t="s">
        <v>2253</v>
      </c>
      <c r="F201" s="177" t="b">
        <f>IF(ISBLANK(FarmUnit[[#This Row],[1. Identifiant interne d’exploitation agricole*]]),"",IF(ISERROR(MATCH(FarmUnit[[#This Row],[1. Identifiant interne d’exploitation agricole*]],GroupMember[1. Identifiant interne d’exploitation agricole*],0)),FALSE,TRUE))</f>
        <v>1</v>
      </c>
      <c r="G201" s="192" t="str">
        <f t="shared" si="9"/>
        <v>7.12335</v>
      </c>
      <c r="H201" s="192" t="str">
        <f t="shared" si="10"/>
        <v>-7.75375</v>
      </c>
      <c r="I201" s="193" t="str">
        <f t="array" ref="I201">IF(ISBLANK(C201),"",IF(C201=MAX(IF([1. Identifiant interne d’exploitation agricole*]=A201,[3. Superficie de l’unité agricole (ha)*])),"!","-"))</f>
        <v>!</v>
      </c>
      <c r="J201" s="178" t="str">
        <f>IFERROR(CONCATENATE(VLOOKUP(A201,GM_Table,12,FALSE)," ",(VLOOKUP(A201,GM_Table,13,FALSE))),"")</f>
        <v/>
      </c>
    </row>
    <row r="202" spans="1:10" ht="15">
      <c r="A202" s="189" t="s">
        <v>1436</v>
      </c>
      <c r="B202" s="190" t="s">
        <v>1436</v>
      </c>
      <c r="C202" s="191">
        <v>2.8395999999999999</v>
      </c>
      <c r="D202" s="197" t="s">
        <v>2254</v>
      </c>
      <c r="E202" s="197" t="s">
        <v>2255</v>
      </c>
      <c r="F202" s="177" t="b">
        <f>IF(ISBLANK(FarmUnit[[#This Row],[1. Identifiant interne d’exploitation agricole*]]),"",IF(ISERROR(MATCH(FarmUnit[[#This Row],[1. Identifiant interne d’exploitation agricole*]],GroupMember[1. Identifiant interne d’exploitation agricole*],0)),FALSE,TRUE))</f>
        <v>1</v>
      </c>
      <c r="G202" s="192" t="str">
        <f t="shared" si="9"/>
        <v>6.95836</v>
      </c>
      <c r="H202" s="192" t="str">
        <f t="shared" si="10"/>
        <v>-7.757034</v>
      </c>
      <c r="I202" s="193" t="str">
        <f t="array" ref="I202">IF(ISBLANK(C202),"",IF(C202=MAX(IF([1. Identifiant interne d’exploitation agricole*]=A202,[3. Superficie de l’unité agricole (ha)*])),"!","-"))</f>
        <v>!</v>
      </c>
      <c r="J202" s="178" t="str">
        <f>IFERROR(CONCATENATE(VLOOKUP(A202,GM_Table,12,FALSE)," ",(VLOOKUP(A202,GM_Table,13,FALSE))),"")</f>
        <v/>
      </c>
    </row>
    <row r="203" spans="1:10">
      <c r="A203" s="189" t="s">
        <v>1440</v>
      </c>
      <c r="B203" s="190" t="s">
        <v>1440</v>
      </c>
      <c r="C203" s="191">
        <v>0.45979999999999999</v>
      </c>
      <c r="D203" s="200" t="s">
        <v>2256</v>
      </c>
      <c r="E203" s="200" t="s">
        <v>2257</v>
      </c>
      <c r="F203" s="177" t="b">
        <f>IF(ISBLANK(FarmUnit[[#This Row],[1. Identifiant interne d’exploitation agricole*]]),"",IF(ISERROR(MATCH(FarmUnit[[#This Row],[1. Identifiant interne d’exploitation agricole*]],GroupMember[1. Identifiant interne d’exploitation agricole*],0)),FALSE,TRUE))</f>
        <v>1</v>
      </c>
      <c r="G203" s="192" t="str">
        <f t="shared" si="9"/>
        <v>7.12076</v>
      </c>
      <c r="H203" s="192" t="str">
        <f t="shared" si="10"/>
        <v>-7.75174</v>
      </c>
      <c r="I203" s="193" t="str">
        <f t="array" ref="I203">IF(ISBLANK(C203),"",IF(C203=MAX(IF([1. Identifiant interne d’exploitation agricole*]=A203,[3. Superficie de l’unité agricole (ha)*])),"!","-"))</f>
        <v>!</v>
      </c>
      <c r="J203" s="178" t="str">
        <f>IFERROR(CONCATENATE(VLOOKUP(A203,GM_Table,12,FALSE)," ",(VLOOKUP(A203,GM_Table,13,FALSE))),"")</f>
        <v/>
      </c>
    </row>
    <row r="204" spans="1:10">
      <c r="A204" s="189" t="s">
        <v>1445</v>
      </c>
      <c r="B204" s="190" t="s">
        <v>1445</v>
      </c>
      <c r="C204" s="191">
        <v>6.6486000000000001</v>
      </c>
      <c r="D204" s="200" t="s">
        <v>2258</v>
      </c>
      <c r="E204" s="200" t="s">
        <v>2259</v>
      </c>
      <c r="F204" s="177" t="b">
        <f>IF(ISBLANK(FarmUnit[[#This Row],[1. Identifiant interne d’exploitation agricole*]]),"",IF(ISERROR(MATCH(FarmUnit[[#This Row],[1. Identifiant interne d’exploitation agricole*]],GroupMember[1. Identifiant interne d’exploitation agricole*],0)),FALSE,TRUE))</f>
        <v>1</v>
      </c>
      <c r="G204" s="192" t="str">
        <f t="shared" si="9"/>
        <v>7.041263</v>
      </c>
      <c r="H204" s="192" t="str">
        <f t="shared" si="10"/>
        <v>-7.764414</v>
      </c>
      <c r="I204" s="193" t="str">
        <f t="array" ref="I204">IF(ISBLANK(C204),"",IF(C204=MAX(IF([1. Identifiant interne d’exploitation agricole*]=A204,[3. Superficie de l’unité agricole (ha)*])),"!","-"))</f>
        <v>!</v>
      </c>
      <c r="J204" s="178" t="str">
        <f>IFERROR(CONCATENATE(VLOOKUP(A204,GM_Table,12,FALSE)," ",(VLOOKUP(A204,GM_Table,13,FALSE))),"")</f>
        <v/>
      </c>
    </row>
    <row r="205" spans="1:10">
      <c r="A205" s="189" t="s">
        <v>1449</v>
      </c>
      <c r="B205" s="190" t="s">
        <v>1449</v>
      </c>
      <c r="C205" s="191">
        <v>0.56269999999999998</v>
      </c>
      <c r="D205" s="200" t="s">
        <v>2260</v>
      </c>
      <c r="E205" s="200" t="s">
        <v>2261</v>
      </c>
      <c r="F205" s="177" t="b">
        <f>IF(ISBLANK(FarmUnit[[#This Row],[1. Identifiant interne d’exploitation agricole*]]),"",IF(ISERROR(MATCH(FarmUnit[[#This Row],[1. Identifiant interne d’exploitation agricole*]],GroupMember[1. Identifiant interne d’exploitation agricole*],0)),FALSE,TRUE))</f>
        <v>1</v>
      </c>
      <c r="G205" s="192" t="str">
        <f t="shared" si="9"/>
        <v>7.05357</v>
      </c>
      <c r="H205" s="192" t="str">
        <f t="shared" si="10"/>
        <v>-7.71393</v>
      </c>
      <c r="I205" s="193" t="str">
        <f t="array" ref="I205">IF(ISBLANK(C205),"",IF(C205=MAX(IF([1. Identifiant interne d’exploitation agricole*]=A205,[3. Superficie de l’unité agricole (ha)*])),"!","-"))</f>
        <v>!</v>
      </c>
      <c r="J205" s="178" t="str">
        <f>IFERROR(CONCATENATE(VLOOKUP(A205,GM_Table,12,FALSE)," ",(VLOOKUP(A205,GM_Table,13,FALSE))),"")</f>
        <v/>
      </c>
    </row>
    <row r="206" spans="1:10">
      <c r="A206" s="189" t="s">
        <v>1452</v>
      </c>
      <c r="B206" s="189" t="s">
        <v>1452</v>
      </c>
      <c r="C206" s="191">
        <v>1.1949000000000001</v>
      </c>
      <c r="D206" s="200" t="s">
        <v>2262</v>
      </c>
      <c r="E206" s="200" t="s">
        <v>2263</v>
      </c>
      <c r="F206" s="177" t="b">
        <f>IF(ISBLANK(FarmUnit[[#This Row],[1. Identifiant interne d’exploitation agricole*]]),"",IF(ISERROR(MATCH(FarmUnit[[#This Row],[1. Identifiant interne d’exploitation agricole*]],GroupMember[1. Identifiant interne d’exploitation agricole*],0)),FALSE,TRUE))</f>
        <v>1</v>
      </c>
      <c r="G206" s="192" t="str">
        <f t="shared" si="9"/>
        <v>7.12229</v>
      </c>
      <c r="H206" s="192" t="str">
        <f t="shared" si="10"/>
        <v>-7.75302</v>
      </c>
      <c r="I206" s="193" t="str">
        <f t="array" ref="I206">IF(ISBLANK(C206),"",IF(C206=MAX(IF([1. Identifiant interne d’exploitation agricole*]=A206,[3. Superficie de l’unité agricole (ha)*])),"!","-"))</f>
        <v>!</v>
      </c>
      <c r="J206" s="178" t="str">
        <f>IFERROR(CONCATENATE(VLOOKUP(A206,GM_Table,12,FALSE)," ",(VLOOKUP(A206,GM_Table,13,FALSE))),"")</f>
        <v/>
      </c>
    </row>
    <row r="207" spans="1:10">
      <c r="A207" s="189" t="s">
        <v>1457</v>
      </c>
      <c r="B207" s="189" t="s">
        <v>1457</v>
      </c>
      <c r="C207" s="191">
        <v>0.78390000000000004</v>
      </c>
      <c r="D207" s="200" t="s">
        <v>2264</v>
      </c>
      <c r="E207" s="200" t="s">
        <v>2265</v>
      </c>
      <c r="F207" s="177" t="b">
        <f>IF(ISBLANK(FarmUnit[[#This Row],[1. Identifiant interne d’exploitation agricole*]]),"",IF(ISERROR(MATCH(FarmUnit[[#This Row],[1. Identifiant interne d’exploitation agricole*]],GroupMember[1. Identifiant interne d’exploitation agricole*],0)),FALSE,TRUE))</f>
        <v>1</v>
      </c>
      <c r="G207" s="192" t="str">
        <f t="shared" si="9"/>
        <v>7.11823</v>
      </c>
      <c r="H207" s="192" t="str">
        <f t="shared" si="10"/>
        <v>-7.74998</v>
      </c>
      <c r="I207" s="193" t="str">
        <f t="array" ref="I207">IF(ISBLANK(C207),"",IF(C207=MAX(IF([1. Identifiant interne d’exploitation agricole*]=A207,[3. Superficie de l’unité agricole (ha)*])),"!","-"))</f>
        <v>!</v>
      </c>
      <c r="J207" s="178" t="str">
        <f>IFERROR(CONCATENATE(VLOOKUP(A207,GM_Table,12,FALSE)," ",(VLOOKUP(A207,GM_Table,13,FALSE))),"")</f>
        <v/>
      </c>
    </row>
    <row r="208" spans="1:10">
      <c r="A208" s="189" t="s">
        <v>1461</v>
      </c>
      <c r="B208" s="190" t="s">
        <v>1461</v>
      </c>
      <c r="C208" s="191">
        <v>0.75670000000000004</v>
      </c>
      <c r="D208" s="200" t="s">
        <v>2266</v>
      </c>
      <c r="E208" s="200" t="s">
        <v>2267</v>
      </c>
      <c r="F208" s="177" t="b">
        <f>IF(ISBLANK(FarmUnit[[#This Row],[1. Identifiant interne d’exploitation agricole*]]),"",IF(ISERROR(MATCH(FarmUnit[[#This Row],[1. Identifiant interne d’exploitation agricole*]],GroupMember[1. Identifiant interne d’exploitation agricole*],0)),FALSE,TRUE))</f>
        <v>1</v>
      </c>
      <c r="G208" s="192" t="str">
        <f t="shared" si="9"/>
        <v>7.01887</v>
      </c>
      <c r="H208" s="192" t="str">
        <f t="shared" si="10"/>
        <v>-7.44592</v>
      </c>
      <c r="I208" s="193" t="str">
        <f t="array" ref="I208">IF(ISBLANK(C208),"",IF(C208=MAX(IF([1. Identifiant interne d’exploitation agricole*]=A208,[3. Superficie de l’unité agricole (ha)*])),"!","-"))</f>
        <v>!</v>
      </c>
      <c r="J208" s="178" t="str">
        <f>IFERROR(CONCATENATE(VLOOKUP(A208,GM_Table,12,FALSE)," ",(VLOOKUP(A208,GM_Table,13,FALSE))),"")</f>
        <v/>
      </c>
    </row>
    <row r="209" spans="1:10">
      <c r="A209" s="189" t="s">
        <v>1465</v>
      </c>
      <c r="B209" s="190" t="s">
        <v>1465</v>
      </c>
      <c r="C209" s="191">
        <v>1.5925</v>
      </c>
      <c r="D209" s="200" t="s">
        <v>2268</v>
      </c>
      <c r="E209" s="200" t="s">
        <v>2269</v>
      </c>
      <c r="F209" s="177" t="b">
        <f>IF(ISBLANK(FarmUnit[[#This Row],[1. Identifiant interne d’exploitation agricole*]]),"",IF(ISERROR(MATCH(FarmUnit[[#This Row],[1. Identifiant interne d’exploitation agricole*]],GroupMember[1. Identifiant interne d’exploitation agricole*],0)),FALSE,TRUE))</f>
        <v>1</v>
      </c>
      <c r="G209" s="192" t="str">
        <f t="shared" si="9"/>
        <v>7.08441</v>
      </c>
      <c r="H209" s="192" t="str">
        <f t="shared" si="10"/>
        <v>-7.41096</v>
      </c>
      <c r="I209" s="193" t="str">
        <f t="array" ref="I209">IF(ISBLANK(C209),"",IF(C209=MAX(IF([1. Identifiant interne d’exploitation agricole*]=A209,[3. Superficie de l’unité agricole (ha)*])),"!","-"))</f>
        <v>!</v>
      </c>
      <c r="J209" s="178" t="str">
        <f>IFERROR(CONCATENATE(VLOOKUP(A209,GM_Table,12,FALSE)," ",(VLOOKUP(A209,GM_Table,13,FALSE))),"")</f>
        <v/>
      </c>
    </row>
    <row r="210" spans="1:10">
      <c r="A210" s="189" t="s">
        <v>1469</v>
      </c>
      <c r="B210" s="190" t="s">
        <v>1469</v>
      </c>
      <c r="C210" s="191">
        <v>1.2756000000000001</v>
      </c>
      <c r="D210" s="200" t="s">
        <v>2270</v>
      </c>
      <c r="E210" s="200" t="s">
        <v>2271</v>
      </c>
      <c r="F210" s="177" t="b">
        <f>IF(ISBLANK(FarmUnit[[#This Row],[1. Identifiant interne d’exploitation agricole*]]),"",IF(ISERROR(MATCH(FarmUnit[[#This Row],[1. Identifiant interne d’exploitation agricole*]],GroupMember[1. Identifiant interne d’exploitation agricole*],0)),FALSE,TRUE))</f>
        <v>1</v>
      </c>
      <c r="G210" s="192" t="str">
        <f t="shared" si="9"/>
        <v>7.18076</v>
      </c>
      <c r="H210" s="192" t="str">
        <f t="shared" si="10"/>
        <v>-7.70228</v>
      </c>
      <c r="I210" s="193" t="str">
        <f t="array" ref="I210">IF(ISBLANK(C210),"",IF(C210=MAX(IF([1. Identifiant interne d’exploitation agricole*]=A210,[3. Superficie de l’unité agricole (ha)*])),"!","-"))</f>
        <v>!</v>
      </c>
      <c r="J210" s="178" t="str">
        <f>IFERROR(CONCATENATE(VLOOKUP(A210,GM_Table,12,FALSE)," ",(VLOOKUP(A210,GM_Table,13,FALSE))),"")</f>
        <v/>
      </c>
    </row>
    <row r="211" spans="1:10">
      <c r="A211" s="189" t="s">
        <v>1473</v>
      </c>
      <c r="B211" s="190" t="s">
        <v>1473</v>
      </c>
      <c r="C211" s="191">
        <v>0.95499999999999996</v>
      </c>
      <c r="D211" s="200" t="s">
        <v>2272</v>
      </c>
      <c r="E211" s="200" t="s">
        <v>2273</v>
      </c>
      <c r="F211" s="177" t="b">
        <f>IF(ISBLANK(FarmUnit[[#This Row],[1. Identifiant interne d’exploitation agricole*]]),"",IF(ISERROR(MATCH(FarmUnit[[#This Row],[1. Identifiant interne d’exploitation agricole*]],GroupMember[1. Identifiant interne d’exploitation agricole*],0)),FALSE,TRUE))</f>
        <v>1</v>
      </c>
      <c r="G211" s="192" t="str">
        <f t="shared" si="9"/>
        <v>7.12295</v>
      </c>
      <c r="H211" s="192" t="str">
        <f t="shared" si="10"/>
        <v>-7.6479</v>
      </c>
      <c r="I211" s="193" t="str">
        <f t="array" ref="I211">IF(ISBLANK(C211),"",IF(C211=MAX(IF([1. Identifiant interne d’exploitation agricole*]=A211,[3. Superficie de l’unité agricole (ha)*])),"!","-"))</f>
        <v>!</v>
      </c>
      <c r="J211" s="178" t="str">
        <f>IFERROR(CONCATENATE(VLOOKUP(A211,GM_Table,12,FALSE)," ",(VLOOKUP(A211,GM_Table,13,FALSE))),"")</f>
        <v/>
      </c>
    </row>
    <row r="212" spans="1:10">
      <c r="A212" s="189" t="s">
        <v>1478</v>
      </c>
      <c r="B212" s="190" t="s">
        <v>1478</v>
      </c>
      <c r="C212" s="191">
        <v>1.4810000000000001</v>
      </c>
      <c r="D212" s="200" t="s">
        <v>2274</v>
      </c>
      <c r="E212" s="200" t="s">
        <v>2275</v>
      </c>
      <c r="F212" s="177" t="b">
        <f>IF(ISBLANK(FarmUnit[[#This Row],[1. Identifiant interne d’exploitation agricole*]]),"",IF(ISERROR(MATCH(FarmUnit[[#This Row],[1. Identifiant interne d’exploitation agricole*]],GroupMember[1. Identifiant interne d’exploitation agricole*],0)),FALSE,TRUE))</f>
        <v>1</v>
      </c>
      <c r="G212" s="192" t="str">
        <f t="shared" si="9"/>
        <v>7.01116</v>
      </c>
      <c r="H212" s="192" t="str">
        <f t="shared" si="10"/>
        <v>-7.67509</v>
      </c>
      <c r="I212" s="193" t="str">
        <f t="array" ref="I212">IF(ISBLANK(C212),"",IF(C212=MAX(IF([1. Identifiant interne d’exploitation agricole*]=A212,[3. Superficie de l’unité agricole (ha)*])),"!","-"))</f>
        <v>!</v>
      </c>
      <c r="J212" s="178" t="str">
        <f>IFERROR(CONCATENATE(VLOOKUP(A212,GM_Table,12,FALSE)," ",(VLOOKUP(A212,GM_Table,13,FALSE))),"")</f>
        <v/>
      </c>
    </row>
    <row r="213" spans="1:10">
      <c r="A213" s="189" t="s">
        <v>1483</v>
      </c>
      <c r="B213" s="190" t="s">
        <v>1483</v>
      </c>
      <c r="C213" s="191">
        <v>0.92920000000000003</v>
      </c>
      <c r="D213" s="200" t="s">
        <v>2276</v>
      </c>
      <c r="E213" s="200" t="s">
        <v>2277</v>
      </c>
      <c r="F213" s="177" t="b">
        <f>IF(ISBLANK(FarmUnit[[#This Row],[1. Identifiant interne d’exploitation agricole*]]),"",IF(ISERROR(MATCH(FarmUnit[[#This Row],[1. Identifiant interne d’exploitation agricole*]],GroupMember[1. Identifiant interne d’exploitation agricole*],0)),FALSE,TRUE))</f>
        <v>1</v>
      </c>
      <c r="G213" s="192" t="str">
        <f t="shared" si="9"/>
        <v>7.11829</v>
      </c>
      <c r="H213" s="192" t="str">
        <f t="shared" si="10"/>
        <v>-7.74586</v>
      </c>
      <c r="I213" s="193" t="str">
        <f t="array" ref="I213">IF(ISBLANK(C213),"",IF(C213=MAX(IF([1. Identifiant interne d’exploitation agricole*]=A213,[3. Superficie de l’unité agricole (ha)*])),"!","-"))</f>
        <v>!</v>
      </c>
      <c r="J213" s="178" t="str">
        <f>IFERROR(CONCATENATE(VLOOKUP(A213,GM_Table,12,FALSE)," ",(VLOOKUP(A213,GM_Table,13,FALSE))),"")</f>
        <v/>
      </c>
    </row>
    <row r="214" spans="1:10">
      <c r="A214" s="189" t="s">
        <v>1488</v>
      </c>
      <c r="B214" s="190" t="s">
        <v>1488</v>
      </c>
      <c r="C214" s="191">
        <v>1.6679999999999999</v>
      </c>
      <c r="D214" s="200" t="s">
        <v>2278</v>
      </c>
      <c r="E214" s="200" t="s">
        <v>2279</v>
      </c>
      <c r="F214" s="177" t="b">
        <f>IF(ISBLANK(FarmUnit[[#This Row],[1. Identifiant interne d’exploitation agricole*]]),"",IF(ISERROR(MATCH(FarmUnit[[#This Row],[1. Identifiant interne d’exploitation agricole*]],GroupMember[1. Identifiant interne d’exploitation agricole*],0)),FALSE,TRUE))</f>
        <v>1</v>
      </c>
      <c r="G214" s="192" t="str">
        <f t="shared" si="9"/>
        <v>7.10703</v>
      </c>
      <c r="H214" s="192" t="str">
        <f t="shared" si="10"/>
        <v>-7.74507</v>
      </c>
      <c r="I214" s="193" t="str">
        <f t="array" ref="I214">IF(ISBLANK(C214),"",IF(C214=MAX(IF([1. Identifiant interne d’exploitation agricole*]=A214,[3. Superficie de l’unité agricole (ha)*])),"!","-"))</f>
        <v>!</v>
      </c>
      <c r="J214" s="178" t="str">
        <f>IFERROR(CONCATENATE(VLOOKUP(A214,GM_Table,12,FALSE)," ",(VLOOKUP(A214,GM_Table,13,FALSE))),"")</f>
        <v/>
      </c>
    </row>
    <row r="215" spans="1:10">
      <c r="A215" s="189" t="s">
        <v>1491</v>
      </c>
      <c r="B215" s="190" t="s">
        <v>1491</v>
      </c>
      <c r="C215" s="191">
        <v>0.92749999999999999</v>
      </c>
      <c r="D215" s="200" t="s">
        <v>2280</v>
      </c>
      <c r="E215" s="200" t="s">
        <v>2281</v>
      </c>
      <c r="F215" s="177" t="b">
        <f>IF(ISBLANK(FarmUnit[[#This Row],[1. Identifiant interne d’exploitation agricole*]]),"",IF(ISERROR(MATCH(FarmUnit[[#This Row],[1. Identifiant interne d’exploitation agricole*]],GroupMember[1. Identifiant interne d’exploitation agricole*],0)),FALSE,TRUE))</f>
        <v>1</v>
      </c>
      <c r="G215" s="192" t="str">
        <f t="shared" si="9"/>
        <v>7.10751</v>
      </c>
      <c r="H215" s="192" t="str">
        <f t="shared" si="10"/>
        <v>-7.74337</v>
      </c>
      <c r="I215" s="193" t="str">
        <f t="array" ref="I215">IF(ISBLANK(C215),"",IF(C215=MAX(IF([1. Identifiant interne d’exploitation agricole*]=A215,[3. Superficie de l’unité agricole (ha)*])),"!","-"))</f>
        <v>!</v>
      </c>
      <c r="J215" s="178" t="str">
        <f>IFERROR(CONCATENATE(VLOOKUP(A215,GM_Table,12,FALSE)," ",(VLOOKUP(A215,GM_Table,13,FALSE))),"")</f>
        <v/>
      </c>
    </row>
    <row r="216" spans="1:10">
      <c r="A216" s="189" t="s">
        <v>1495</v>
      </c>
      <c r="B216" s="190" t="s">
        <v>1495</v>
      </c>
      <c r="C216" s="191">
        <v>1.3083</v>
      </c>
      <c r="D216" s="200" t="s">
        <v>2282</v>
      </c>
      <c r="E216" s="200" t="s">
        <v>2283</v>
      </c>
      <c r="F216" s="177" t="b">
        <f>IF(ISBLANK(FarmUnit[[#This Row],[1. Identifiant interne d’exploitation agricole*]]),"",IF(ISERROR(MATCH(FarmUnit[[#This Row],[1. Identifiant interne d’exploitation agricole*]],GroupMember[1. Identifiant interne d’exploitation agricole*],0)),FALSE,TRUE))</f>
        <v>1</v>
      </c>
      <c r="G216" s="192" t="str">
        <f t="shared" si="9"/>
        <v>7.10938</v>
      </c>
      <c r="H216" s="192" t="str">
        <f t="shared" si="10"/>
        <v>-7.7444</v>
      </c>
      <c r="I216" s="193" t="str">
        <f t="array" ref="I216">IF(ISBLANK(C216),"",IF(C216=MAX(IF([1. Identifiant interne d’exploitation agricole*]=A216,[3. Superficie de l’unité agricole (ha)*])),"!","-"))</f>
        <v>!</v>
      </c>
      <c r="J216" s="178" t="str">
        <f>IFERROR(CONCATENATE(VLOOKUP(A216,GM_Table,12,FALSE)," ",(VLOOKUP(A216,GM_Table,13,FALSE))),"")</f>
        <v/>
      </c>
    </row>
    <row r="217" spans="1:10">
      <c r="A217" s="189" t="s">
        <v>1499</v>
      </c>
      <c r="B217" s="189" t="s">
        <v>1499</v>
      </c>
      <c r="C217" s="191">
        <v>1.3138999999999998</v>
      </c>
      <c r="D217" s="200" t="s">
        <v>2284</v>
      </c>
      <c r="E217" s="200" t="s">
        <v>2285</v>
      </c>
      <c r="F217" s="177" t="b">
        <f>IF(ISBLANK(FarmUnit[[#This Row],[1. Identifiant interne d’exploitation agricole*]]),"",IF(ISERROR(MATCH(FarmUnit[[#This Row],[1. Identifiant interne d’exploitation agricole*]],GroupMember[1. Identifiant interne d’exploitation agricole*],0)),FALSE,TRUE))</f>
        <v>1</v>
      </c>
      <c r="G217" s="192" t="str">
        <f t="shared" si="9"/>
        <v>7.10962</v>
      </c>
      <c r="H217" s="192" t="str">
        <f t="shared" si="10"/>
        <v>-7.74228</v>
      </c>
      <c r="I217" s="193" t="str">
        <f t="array" ref="I217">IF(ISBLANK(C217),"",IF(C217=MAX(IF([1. Identifiant interne d’exploitation agricole*]=A217,[3. Superficie de l’unité agricole (ha)*])),"!","-"))</f>
        <v>!</v>
      </c>
      <c r="J217" s="178" t="str">
        <f>IFERROR(CONCATENATE(VLOOKUP(A217,GM_Table,12,FALSE)," ",(VLOOKUP(A217,GM_Table,13,FALSE))),"")</f>
        <v/>
      </c>
    </row>
    <row r="218" spans="1:10">
      <c r="A218" s="189" t="s">
        <v>1502</v>
      </c>
      <c r="B218" s="189" t="s">
        <v>1502</v>
      </c>
      <c r="C218" s="191">
        <v>1.6335999999999999</v>
      </c>
      <c r="D218" s="200" t="s">
        <v>2286</v>
      </c>
      <c r="E218" s="200" t="s">
        <v>2287</v>
      </c>
      <c r="F218" s="177" t="b">
        <f>IF(ISBLANK(FarmUnit[[#This Row],[1. Identifiant interne d’exploitation agricole*]]),"",IF(ISERROR(MATCH(FarmUnit[[#This Row],[1. Identifiant interne d’exploitation agricole*]],GroupMember[1. Identifiant interne d’exploitation agricole*],0)),FALSE,TRUE))</f>
        <v>1</v>
      </c>
      <c r="G218" s="192" t="str">
        <f t="shared" si="9"/>
        <v>7.10835</v>
      </c>
      <c r="H218" s="192" t="str">
        <f t="shared" si="10"/>
        <v>-7.74088</v>
      </c>
      <c r="I218" s="193" t="str">
        <f t="array" ref="I218">IF(ISBLANK(C218),"",IF(C218=MAX(IF([1. Identifiant interne d’exploitation agricole*]=A218,[3. Superficie de l’unité agricole (ha)*])),"!","-"))</f>
        <v>!</v>
      </c>
      <c r="J218" s="178" t="str">
        <f>IFERROR(CONCATENATE(VLOOKUP(A218,GM_Table,12,FALSE)," ",(VLOOKUP(A218,GM_Table,13,FALSE))),"")</f>
        <v/>
      </c>
    </row>
    <row r="219" spans="1:10">
      <c r="A219" s="189" t="s">
        <v>1504</v>
      </c>
      <c r="B219" s="189" t="s">
        <v>1504</v>
      </c>
      <c r="C219" s="191">
        <v>2.3929</v>
      </c>
      <c r="D219" s="200" t="s">
        <v>2288</v>
      </c>
      <c r="E219" s="200" t="s">
        <v>2289</v>
      </c>
      <c r="F219" s="177" t="b">
        <f>IF(ISBLANK(FarmUnit[[#This Row],[1. Identifiant interne d’exploitation agricole*]]),"",IF(ISERROR(MATCH(FarmUnit[[#This Row],[1. Identifiant interne d’exploitation agricole*]],GroupMember[1. Identifiant interne d’exploitation agricole*],0)),FALSE,TRUE))</f>
        <v>1</v>
      </c>
      <c r="G219" s="192" t="str">
        <f t="shared" si="9"/>
        <v>7.10642</v>
      </c>
      <c r="H219" s="192" t="str">
        <f t="shared" si="10"/>
        <v>-7.74179</v>
      </c>
      <c r="I219" s="193" t="str">
        <f t="array" ref="I219">IF(ISBLANK(C219),"",IF(C219=MAX(IF([1. Identifiant interne d’exploitation agricole*]=A219,[3. Superficie de l’unité agricole (ha)*])),"!","-"))</f>
        <v>!</v>
      </c>
      <c r="J219" s="178" t="str">
        <f>IFERROR(CONCATENATE(VLOOKUP(A219,GM_Table,12,FALSE)," ",(VLOOKUP(A219,GM_Table,13,FALSE))),"")</f>
        <v/>
      </c>
    </row>
    <row r="220" spans="1:10">
      <c r="A220" s="189" t="s">
        <v>1508</v>
      </c>
      <c r="B220" s="190" t="s">
        <v>1508</v>
      </c>
      <c r="C220" s="191">
        <v>0.88429999999999997</v>
      </c>
      <c r="D220" s="200" t="s">
        <v>2290</v>
      </c>
      <c r="E220" s="200" t="s">
        <v>2291</v>
      </c>
      <c r="F220" s="177" t="b">
        <f>IF(ISBLANK(FarmUnit[[#This Row],[1. Identifiant interne d’exploitation agricole*]]),"",IF(ISERROR(MATCH(FarmUnit[[#This Row],[1. Identifiant interne d’exploitation agricole*]],GroupMember[1. Identifiant interne d’exploitation agricole*],0)),FALSE,TRUE))</f>
        <v>1</v>
      </c>
      <c r="G220" s="192" t="str">
        <f t="shared" si="9"/>
        <v>7.10582</v>
      </c>
      <c r="H220" s="192" t="str">
        <f t="shared" si="10"/>
        <v>-7.74373</v>
      </c>
      <c r="I220" s="193" t="str">
        <f t="array" ref="I220">IF(ISBLANK(C220),"",IF(C220=MAX(IF([1. Identifiant interne d’exploitation agricole*]=A220,[3. Superficie de l’unité agricole (ha)*])),"!","-"))</f>
        <v>!</v>
      </c>
      <c r="J220" s="178" t="str">
        <f>IFERROR(CONCATENATE(VLOOKUP(A220,GM_Table,12,FALSE)," ",(VLOOKUP(A220,GM_Table,13,FALSE))),"")</f>
        <v/>
      </c>
    </row>
    <row r="221" spans="1:10">
      <c r="A221" s="189" t="s">
        <v>1513</v>
      </c>
      <c r="B221" s="190" t="s">
        <v>1513</v>
      </c>
      <c r="C221" s="191">
        <v>2.2879999999999998</v>
      </c>
      <c r="D221" s="200" t="s">
        <v>2292</v>
      </c>
      <c r="E221" s="200" t="s">
        <v>2293</v>
      </c>
      <c r="F221" s="177" t="b">
        <f>IF(ISBLANK(FarmUnit[[#This Row],[1. Identifiant interne d’exploitation agricole*]]),"",IF(ISERROR(MATCH(FarmUnit[[#This Row],[1. Identifiant interne d’exploitation agricole*]],GroupMember[1. Identifiant interne d’exploitation agricole*],0)),FALSE,TRUE))</f>
        <v>1</v>
      </c>
      <c r="G221" s="192" t="str">
        <f t="shared" si="9"/>
        <v>7.10498</v>
      </c>
      <c r="H221" s="192" t="str">
        <f t="shared" si="10"/>
        <v>-7.74264</v>
      </c>
      <c r="I221" s="193" t="str">
        <f t="array" ref="I221">IF(ISBLANK(C221),"",IF(C221=MAX(IF([1. Identifiant interne d’exploitation agricole*]=A221,[3. Superficie de l’unité agricole (ha)*])),"!","-"))</f>
        <v>!</v>
      </c>
      <c r="J221" s="178" t="str">
        <f>IFERROR(CONCATENATE(VLOOKUP(A221,GM_Table,12,FALSE)," ",(VLOOKUP(A221,GM_Table,13,FALSE))),"")</f>
        <v/>
      </c>
    </row>
    <row r="222" spans="1:10">
      <c r="A222" s="189" t="s">
        <v>1517</v>
      </c>
      <c r="B222" s="189" t="s">
        <v>1517</v>
      </c>
      <c r="C222" s="191">
        <v>0.71150000000000002</v>
      </c>
      <c r="D222" s="200" t="s">
        <v>2294</v>
      </c>
      <c r="E222" s="200" t="s">
        <v>2295</v>
      </c>
      <c r="F222" s="177" t="b">
        <f>IF(ISBLANK(FarmUnit[[#This Row],[1. Identifiant interne d’exploitation agricole*]]),"",IF(ISERROR(MATCH(FarmUnit[[#This Row],[1. Identifiant interne d’exploitation agricole*]],GroupMember[1. Identifiant interne d’exploitation agricole*],0)),FALSE,TRUE))</f>
        <v>1</v>
      </c>
      <c r="G222" s="192" t="str">
        <f t="shared" si="9"/>
        <v>7.10504</v>
      </c>
      <c r="H222" s="192" t="str">
        <f t="shared" si="10"/>
        <v>-7.74082</v>
      </c>
      <c r="I222" s="193" t="str">
        <f t="array" ref="I222">IF(ISBLANK(C222),"",IF(C222=MAX(IF([1. Identifiant interne d’exploitation agricole*]=A222,[3. Superficie de l’unité agricole (ha)*])),"!","-"))</f>
        <v>!</v>
      </c>
      <c r="J222" s="178" t="str">
        <f>IFERROR(CONCATENATE(VLOOKUP(A222,GM_Table,12,FALSE)," ",(VLOOKUP(A222,GM_Table,13,FALSE))),"")</f>
        <v/>
      </c>
    </row>
    <row r="223" spans="1:10">
      <c r="A223" s="189" t="s">
        <v>1519</v>
      </c>
      <c r="B223" s="190" t="s">
        <v>1519</v>
      </c>
      <c r="C223" s="191">
        <v>0.626</v>
      </c>
      <c r="D223" s="200" t="s">
        <v>2296</v>
      </c>
      <c r="E223" s="200" t="s">
        <v>2297</v>
      </c>
      <c r="F223" s="177" t="b">
        <f>IF(ISBLANK(FarmUnit[[#This Row],[1. Identifiant interne d’exploitation agricole*]]),"",IF(ISERROR(MATCH(FarmUnit[[#This Row],[1. Identifiant interne d’exploitation agricole*]],GroupMember[1. Identifiant interne d’exploitation agricole*],0)),FALSE,TRUE))</f>
        <v>1</v>
      </c>
      <c r="G223" s="192" t="str">
        <f t="shared" si="9"/>
        <v>7.10932</v>
      </c>
      <c r="H223" s="192" t="str">
        <f t="shared" si="10"/>
        <v>-7.73851</v>
      </c>
      <c r="I223" s="193" t="str">
        <f t="array" ref="I223">IF(ISBLANK(C223),"",IF(C223=MAX(IF([1. Identifiant interne d’exploitation agricole*]=A223,[3. Superficie de l’unité agricole (ha)*])),"!","-"))</f>
        <v>!</v>
      </c>
      <c r="J223" s="178" t="str">
        <f>IFERROR(CONCATENATE(VLOOKUP(A223,GM_Table,12,FALSE)," ",(VLOOKUP(A223,GM_Table,13,FALSE))),"")</f>
        <v/>
      </c>
    </row>
    <row r="224" spans="1:10">
      <c r="A224" s="189" t="s">
        <v>1522</v>
      </c>
      <c r="B224" s="190" t="s">
        <v>1522</v>
      </c>
      <c r="C224" s="191">
        <v>1.2567999999999999</v>
      </c>
      <c r="D224" s="200" t="s">
        <v>2298</v>
      </c>
      <c r="E224" s="200" t="s">
        <v>2299</v>
      </c>
      <c r="F224" s="177" t="b">
        <f>IF(ISBLANK(FarmUnit[[#This Row],[1. Identifiant interne d’exploitation agricole*]]),"",IF(ISERROR(MATCH(FarmUnit[[#This Row],[1. Identifiant interne d’exploitation agricole*]],GroupMember[1. Identifiant interne d’exploitation agricole*],0)),FALSE,TRUE))</f>
        <v>1</v>
      </c>
      <c r="G224" s="192" t="str">
        <f t="shared" si="9"/>
        <v>7.11058</v>
      </c>
      <c r="H224" s="192" t="str">
        <f t="shared" si="10"/>
        <v>-7.73954</v>
      </c>
      <c r="I224" s="193" t="str">
        <f t="array" ref="I224">IF(ISBLANK(C224),"",IF(C224=MAX(IF([1. Identifiant interne d’exploitation agricole*]=A224,[3. Superficie de l’unité agricole (ha)*])),"!","-"))</f>
        <v>!</v>
      </c>
      <c r="J224" s="178" t="str">
        <f>IFERROR(CONCATENATE(VLOOKUP(A224,GM_Table,12,FALSE)," ",(VLOOKUP(A224,GM_Table,13,FALSE))),"")</f>
        <v/>
      </c>
    </row>
    <row r="225" spans="1:10">
      <c r="A225" s="189" t="s">
        <v>1527</v>
      </c>
      <c r="B225" s="190" t="s">
        <v>1527</v>
      </c>
      <c r="C225" s="191">
        <v>1.3066</v>
      </c>
      <c r="D225" s="200" t="s">
        <v>2300</v>
      </c>
      <c r="E225" s="200" t="s">
        <v>2301</v>
      </c>
      <c r="F225" s="177" t="b">
        <f>IF(ISBLANK(FarmUnit[[#This Row],[1. Identifiant interne d’exploitation agricole*]]),"",IF(ISERROR(MATCH(FarmUnit[[#This Row],[1. Identifiant interne d’exploitation agricole*]],GroupMember[1. Identifiant interne d’exploitation agricole*],0)),FALSE,TRUE))</f>
        <v>1</v>
      </c>
      <c r="G225" s="192" t="str">
        <f t="shared" si="9"/>
        <v>7.11769</v>
      </c>
      <c r="H225" s="192" t="str">
        <f t="shared" si="10"/>
        <v>-7.74392</v>
      </c>
      <c r="I225" s="193" t="str">
        <f t="array" ref="I225">IF(ISBLANK(C225),"",IF(C225=MAX(IF([1. Identifiant interne d’exploitation agricole*]=A225,[3. Superficie de l’unité agricole (ha)*])),"!","-"))</f>
        <v>!</v>
      </c>
      <c r="J225" s="178" t="str">
        <f>IFERROR(CONCATENATE(VLOOKUP(A225,GM_Table,12,FALSE)," ",(VLOOKUP(A225,GM_Table,13,FALSE))),"")</f>
        <v/>
      </c>
    </row>
    <row r="226" spans="1:10">
      <c r="A226" s="189" t="s">
        <v>1530</v>
      </c>
      <c r="B226" s="190" t="s">
        <v>1530</v>
      </c>
      <c r="C226" s="191">
        <v>0.84119999999999995</v>
      </c>
      <c r="D226" s="200" t="s">
        <v>2302</v>
      </c>
      <c r="E226" s="200" t="s">
        <v>2303</v>
      </c>
      <c r="F226" s="177" t="b">
        <f>IF(ISBLANK(FarmUnit[[#This Row],[1. Identifiant interne d’exploitation agricole*]]),"",IF(ISERROR(MATCH(FarmUnit[[#This Row],[1. Identifiant interne d’exploitation agricole*]],GroupMember[1. Identifiant interne d’exploitation agricole*],0)),FALSE,TRUE))</f>
        <v>1</v>
      </c>
      <c r="G226" s="192" t="str">
        <f t="shared" si="9"/>
        <v>7.11247</v>
      </c>
      <c r="H226" s="192" t="str">
        <f t="shared" si="10"/>
        <v>-7.73942</v>
      </c>
      <c r="I226" s="193" t="str">
        <f t="array" ref="I226">IF(ISBLANK(C226),"",IF(C226=MAX(IF([1. Identifiant interne d’exploitation agricole*]=A226,[3. Superficie de l’unité agricole (ha)*])),"!","-"))</f>
        <v>!</v>
      </c>
      <c r="J226" s="178" t="str">
        <f>IFERROR(CONCATENATE(VLOOKUP(A226,GM_Table,12,FALSE)," ",(VLOOKUP(A226,GM_Table,13,FALSE))),"")</f>
        <v/>
      </c>
    </row>
    <row r="227" spans="1:10">
      <c r="A227" s="189" t="s">
        <v>1535</v>
      </c>
      <c r="B227" s="189" t="s">
        <v>1535</v>
      </c>
      <c r="C227" s="191">
        <v>13.099299999999999</v>
      </c>
      <c r="D227" s="200" t="s">
        <v>2304</v>
      </c>
      <c r="E227" s="200" t="s">
        <v>2305</v>
      </c>
      <c r="F227" s="177" t="b">
        <f>IF(ISBLANK(FarmUnit[[#This Row],[1. Identifiant interne d’exploitation agricole*]]),"",IF(ISERROR(MATCH(FarmUnit[[#This Row],[1. Identifiant interne d’exploitation agricole*]],GroupMember[1. Identifiant interne d’exploitation agricole*],0)),FALSE,TRUE))</f>
        <v>1</v>
      </c>
      <c r="G227" s="192" t="str">
        <f t="shared" si="9"/>
        <v>7.11197</v>
      </c>
      <c r="H227" s="192" t="str">
        <f t="shared" si="10"/>
        <v>-7.74203</v>
      </c>
      <c r="I227" s="193" t="str">
        <f t="array" ref="I227">IF(ISBLANK(C227),"",IF(C227=MAX(IF([1. Identifiant interne d’exploitation agricole*]=A227,[3. Superficie de l’unité agricole (ha)*])),"!","-"))</f>
        <v>!</v>
      </c>
      <c r="J227" s="178" t="str">
        <f>IFERROR(CONCATENATE(VLOOKUP(A227,GM_Table,12,FALSE)," ",(VLOOKUP(A227,GM_Table,13,FALSE))),"")</f>
        <v/>
      </c>
    </row>
    <row r="228" spans="1:10">
      <c r="A228" s="189" t="s">
        <v>1540</v>
      </c>
      <c r="B228" s="189" t="s">
        <v>1540</v>
      </c>
      <c r="C228" s="191">
        <v>2.3669000000000002</v>
      </c>
      <c r="D228" s="200" t="s">
        <v>2306</v>
      </c>
      <c r="E228" s="200" t="s">
        <v>2307</v>
      </c>
      <c r="F228" s="177" t="b">
        <f>IF(ISBLANK(FarmUnit[[#This Row],[1. Identifiant interne d’exploitation agricole*]]),"",IF(ISERROR(MATCH(FarmUnit[[#This Row],[1. Identifiant interne d’exploitation agricole*]],GroupMember[1. Identifiant interne d’exploitation agricole*],0)),FALSE,TRUE))</f>
        <v>1</v>
      </c>
      <c r="G228" s="192" t="str">
        <f t="shared" si="9"/>
        <v>7.11624</v>
      </c>
      <c r="H228" s="192" t="str">
        <f t="shared" si="10"/>
        <v>-7.7424</v>
      </c>
      <c r="I228" s="193" t="str">
        <f t="array" ref="I228">IF(ISBLANK(C228),"",IF(C228=MAX(IF([1. Identifiant interne d’exploitation agricole*]=A228,[3. Superficie de l’unité agricole (ha)*])),"!","-"))</f>
        <v>!</v>
      </c>
      <c r="J228" s="178" t="str">
        <f>IFERROR(CONCATENATE(VLOOKUP(A228,GM_Table,12,FALSE)," ",(VLOOKUP(A228,GM_Table,13,FALSE))),"")</f>
        <v/>
      </c>
    </row>
    <row r="229" spans="1:10">
      <c r="A229" s="189" t="s">
        <v>1545</v>
      </c>
      <c r="B229" s="189" t="s">
        <v>1545</v>
      </c>
      <c r="C229" s="191">
        <v>4.6231</v>
      </c>
      <c r="D229" s="200" t="s">
        <v>2308</v>
      </c>
      <c r="E229" s="200" t="s">
        <v>2309</v>
      </c>
      <c r="F229" s="177" t="b">
        <f>IF(ISBLANK(FarmUnit[[#This Row],[1. Identifiant interne d’exploitation agricole*]]),"",IF(ISERROR(MATCH(FarmUnit[[#This Row],[1. Identifiant interne d’exploitation agricole*]],GroupMember[1. Identifiant interne d’exploitation agricole*],0)),FALSE,TRUE))</f>
        <v>1</v>
      </c>
      <c r="G229" s="192" t="str">
        <f t="shared" ref="G229:G282" si="11">IF(D229=0,"",D229)</f>
        <v>7.11678</v>
      </c>
      <c r="H229" s="192" t="str">
        <f t="shared" ref="H229:H282" si="12">IF(E229=0,"",E229)</f>
        <v>-7.73918</v>
      </c>
      <c r="I229" s="193" t="str">
        <f t="array" ref="I229">IF(ISBLANK(C229),"",IF(C229=MAX(IF([1. Identifiant interne d’exploitation agricole*]=A229,[3. Superficie de l’unité agricole (ha)*])),"!","-"))</f>
        <v>!</v>
      </c>
      <c r="J229" s="178" t="str">
        <f>IFERROR(CONCATENATE(VLOOKUP(A229,GM_Table,12,FALSE)," ",(VLOOKUP(A229,GM_Table,13,FALSE))),"")</f>
        <v/>
      </c>
    </row>
    <row r="230" spans="1:10">
      <c r="A230" s="189" t="s">
        <v>1548</v>
      </c>
      <c r="B230" s="190" t="s">
        <v>1548</v>
      </c>
      <c r="C230" s="191">
        <v>1.2545999999999999</v>
      </c>
      <c r="D230" s="200" t="s">
        <v>2310</v>
      </c>
      <c r="E230" s="200" t="s">
        <v>2311</v>
      </c>
      <c r="F230" s="177" t="b">
        <f>IF(ISBLANK(FarmUnit[[#This Row],[1. Identifiant interne d’exploitation agricole*]]),"",IF(ISERROR(MATCH(FarmUnit[[#This Row],[1. Identifiant interne d’exploitation agricole*]],GroupMember[1. Identifiant interne d’exploitation agricole*],0)),FALSE,TRUE))</f>
        <v>1</v>
      </c>
      <c r="G230" s="192" t="str">
        <f t="shared" si="11"/>
        <v>7.11307</v>
      </c>
      <c r="H230" s="192" t="str">
        <f t="shared" si="12"/>
        <v>-7.58472</v>
      </c>
      <c r="I230" s="193" t="str">
        <f t="array" ref="I230">IF(ISBLANK(C230),"",IF(C230=MAX(IF([1. Identifiant interne d’exploitation agricole*]=A230,[3. Superficie de l’unité agricole (ha)*])),"!","-"))</f>
        <v>!</v>
      </c>
      <c r="J230" s="178" t="str">
        <f>IFERROR(CONCATENATE(VLOOKUP(A230,GM_Table,12,FALSE)," ",(VLOOKUP(A230,GM_Table,13,FALSE))),"")</f>
        <v/>
      </c>
    </row>
    <row r="231" spans="1:10">
      <c r="A231" s="189" t="s">
        <v>1551</v>
      </c>
      <c r="B231" s="190" t="s">
        <v>1551</v>
      </c>
      <c r="C231" s="191">
        <v>0.95309999999999995</v>
      </c>
      <c r="D231" s="200" t="s">
        <v>2312</v>
      </c>
      <c r="E231" s="200" t="s">
        <v>2313</v>
      </c>
      <c r="F231" s="177" t="b">
        <f>IF(ISBLANK(FarmUnit[[#This Row],[1. Identifiant interne d’exploitation agricole*]]),"",IF(ISERROR(MATCH(FarmUnit[[#This Row],[1. Identifiant interne d’exploitation agricole*]],GroupMember[1. Identifiant interne d’exploitation agricole*],0)),FALSE,TRUE))</f>
        <v>1</v>
      </c>
      <c r="G231" s="192" t="str">
        <f t="shared" si="11"/>
        <v>7.11017</v>
      </c>
      <c r="H231" s="192" t="str">
        <f t="shared" si="12"/>
        <v>-7.59697</v>
      </c>
      <c r="I231" s="193" t="str">
        <f t="array" ref="I231">IF(ISBLANK(C231),"",IF(C231=MAX(IF([1. Identifiant interne d’exploitation agricole*]=A231,[3. Superficie de l’unité agricole (ha)*])),"!","-"))</f>
        <v>!</v>
      </c>
      <c r="J231" s="178" t="str">
        <f>IFERROR(CONCATENATE(VLOOKUP(A231,GM_Table,12,FALSE)," ",(VLOOKUP(A231,GM_Table,13,FALSE))),"")</f>
        <v/>
      </c>
    </row>
    <row r="232" spans="1:10">
      <c r="A232" s="189" t="s">
        <v>1554</v>
      </c>
      <c r="B232" s="190" t="s">
        <v>1554</v>
      </c>
      <c r="C232" s="191">
        <v>1.8887</v>
      </c>
      <c r="D232" s="200" t="s">
        <v>2314</v>
      </c>
      <c r="E232" s="200" t="s">
        <v>2315</v>
      </c>
      <c r="F232" s="177" t="b">
        <f>IF(ISBLANK(FarmUnit[[#This Row],[1. Identifiant interne d’exploitation agricole*]]),"",IF(ISERROR(MATCH(FarmUnit[[#This Row],[1. Identifiant interne d’exploitation agricole*]],GroupMember[1. Identifiant interne d’exploitation agricole*],0)),FALSE,TRUE))</f>
        <v>1</v>
      </c>
      <c r="G232" s="192" t="str">
        <f t="shared" si="11"/>
        <v>7.10564</v>
      </c>
      <c r="H232" s="192" t="str">
        <f t="shared" si="12"/>
        <v>-7.60778</v>
      </c>
      <c r="I232" s="193" t="str">
        <f t="array" ref="I232">IF(ISBLANK(C232),"",IF(C232=MAX(IF([1. Identifiant interne d’exploitation agricole*]=A232,[3. Superficie de l’unité agricole (ha)*])),"!","-"))</f>
        <v>!</v>
      </c>
      <c r="J232" s="178" t="str">
        <f>IFERROR(CONCATENATE(VLOOKUP(A232,GM_Table,12,FALSE)," ",(VLOOKUP(A232,GM_Table,13,FALSE))),"")</f>
        <v/>
      </c>
    </row>
    <row r="233" spans="1:10">
      <c r="A233" s="189" t="s">
        <v>1558</v>
      </c>
      <c r="B233" s="190" t="s">
        <v>1558</v>
      </c>
      <c r="C233" s="191">
        <v>4.0171999999999999</v>
      </c>
      <c r="D233" s="200" t="s">
        <v>2316</v>
      </c>
      <c r="E233" s="200" t="s">
        <v>2317</v>
      </c>
      <c r="F233" s="177" t="b">
        <f>IF(ISBLANK(FarmUnit[[#This Row],[1. Identifiant interne d’exploitation agricole*]]),"",IF(ISERROR(MATCH(FarmUnit[[#This Row],[1. Identifiant interne d’exploitation agricole*]],GroupMember[1. Identifiant interne d’exploitation agricole*],0)),FALSE,TRUE))</f>
        <v>1</v>
      </c>
      <c r="G233" s="192" t="str">
        <f t="shared" si="11"/>
        <v>7.0984</v>
      </c>
      <c r="H233" s="192" t="str">
        <f t="shared" si="12"/>
        <v>-7.61515</v>
      </c>
      <c r="I233" s="193" t="str">
        <f t="array" ref="I233">IF(ISBLANK(C233),"",IF(C233=MAX(IF([1. Identifiant interne d’exploitation agricole*]=A233,[3. Superficie de l’unité agricole (ha)*])),"!","-"))</f>
        <v>!</v>
      </c>
      <c r="J233" s="178" t="str">
        <f>IFERROR(CONCATENATE(VLOOKUP(A233,GM_Table,12,FALSE)," ",(VLOOKUP(A233,GM_Table,13,FALSE))),"")</f>
        <v/>
      </c>
    </row>
    <row r="234" spans="1:10">
      <c r="A234" s="189" t="s">
        <v>1562</v>
      </c>
      <c r="B234" s="190" t="s">
        <v>1562</v>
      </c>
      <c r="C234" s="191">
        <v>3.6019000000000001</v>
      </c>
      <c r="D234" s="200" t="s">
        <v>2318</v>
      </c>
      <c r="E234" s="200" t="s">
        <v>2319</v>
      </c>
      <c r="F234" s="177" t="b">
        <f>IF(ISBLANK(FarmUnit[[#This Row],[1. Identifiant interne d’exploitation agricole*]]),"",IF(ISERROR(MATCH(FarmUnit[[#This Row],[1. Identifiant interne d’exploitation agricole*]],GroupMember[1. Identifiant interne d’exploitation agricole*],0)),FALSE,TRUE))</f>
        <v>1</v>
      </c>
      <c r="G234" s="192" t="str">
        <f t="shared" si="11"/>
        <v>7.10989</v>
      </c>
      <c r="H234" s="192" t="str">
        <f t="shared" si="12"/>
        <v>-7.61531</v>
      </c>
      <c r="I234" s="193" t="str">
        <f t="array" ref="I234">IF(ISBLANK(C234),"",IF(C234=MAX(IF([1. Identifiant interne d’exploitation agricole*]=A234,[3. Superficie de l’unité agricole (ha)*])),"!","-"))</f>
        <v>!</v>
      </c>
      <c r="J234" s="178" t="str">
        <f>IFERROR(CONCATENATE(VLOOKUP(A234,GM_Table,12,FALSE)," ",(VLOOKUP(A234,GM_Table,13,FALSE))),"")</f>
        <v/>
      </c>
    </row>
    <row r="235" spans="1:10">
      <c r="A235" s="189" t="s">
        <v>1567</v>
      </c>
      <c r="B235" s="190" t="s">
        <v>1567</v>
      </c>
      <c r="C235" s="191">
        <v>1.4197</v>
      </c>
      <c r="D235" s="200" t="s">
        <v>2320</v>
      </c>
      <c r="E235" s="200" t="s">
        <v>2321</v>
      </c>
      <c r="F235" s="177" t="b">
        <f>IF(ISBLANK(FarmUnit[[#This Row],[1. Identifiant interne d’exploitation agricole*]]),"",IF(ISERROR(MATCH(FarmUnit[[#This Row],[1. Identifiant interne d’exploitation agricole*]],GroupMember[1. Identifiant interne d’exploitation agricole*],0)),FALSE,TRUE))</f>
        <v>1</v>
      </c>
      <c r="G235" s="192" t="str">
        <f t="shared" si="11"/>
        <v>7.09138</v>
      </c>
      <c r="H235" s="192" t="str">
        <f t="shared" si="12"/>
        <v>-7.61034</v>
      </c>
      <c r="I235" s="193" t="str">
        <f t="array" ref="I235">IF(ISBLANK(C235),"",IF(C235=MAX(IF([1. Identifiant interne d’exploitation agricole*]=A235,[3. Superficie de l’unité agricole (ha)*])),"!","-"))</f>
        <v>!</v>
      </c>
      <c r="J235" s="178" t="str">
        <f>IFERROR(CONCATENATE(VLOOKUP(A235,GM_Table,12,FALSE)," ",(VLOOKUP(A235,GM_Table,13,FALSE))),"")</f>
        <v/>
      </c>
    </row>
    <row r="236" spans="1:10">
      <c r="A236" s="189" t="s">
        <v>1570</v>
      </c>
      <c r="B236" s="190" t="s">
        <v>1570</v>
      </c>
      <c r="C236" s="191">
        <v>1.5289999999999999</v>
      </c>
      <c r="D236" s="200" t="s">
        <v>2322</v>
      </c>
      <c r="E236" s="200" t="s">
        <v>2323</v>
      </c>
      <c r="F236" s="177" t="b">
        <f>IF(ISBLANK(FarmUnit[[#This Row],[1. Identifiant interne d’exploitation agricole*]]),"",IF(ISERROR(MATCH(FarmUnit[[#This Row],[1. Identifiant interne d’exploitation agricole*]],GroupMember[1. Identifiant interne d’exploitation agricole*],0)),FALSE,TRUE))</f>
        <v>1</v>
      </c>
      <c r="G236" s="192" t="str">
        <f t="shared" si="11"/>
        <v>7.08458</v>
      </c>
      <c r="H236" s="192" t="str">
        <f t="shared" si="12"/>
        <v>-7.61715</v>
      </c>
      <c r="I236" s="193" t="str">
        <f t="array" ref="I236">IF(ISBLANK(C236),"",IF(C236=MAX(IF([1. Identifiant interne d’exploitation agricole*]=A236,[3. Superficie de l’unité agricole (ha)*])),"!","-"))</f>
        <v>!</v>
      </c>
      <c r="J236" s="178" t="str">
        <f>IFERROR(CONCATENATE(VLOOKUP(A236,GM_Table,12,FALSE)," ",(VLOOKUP(A236,GM_Table,13,FALSE))),"")</f>
        <v/>
      </c>
    </row>
    <row r="237" spans="1:10">
      <c r="A237" s="189" t="s">
        <v>1573</v>
      </c>
      <c r="B237" s="190" t="s">
        <v>1573</v>
      </c>
      <c r="C237" s="191">
        <v>2.0562</v>
      </c>
      <c r="D237" s="200" t="s">
        <v>2324</v>
      </c>
      <c r="E237" s="200" t="s">
        <v>2325</v>
      </c>
      <c r="F237" s="177" t="b">
        <f>IF(ISBLANK(FarmUnit[[#This Row],[1. Identifiant interne d’exploitation agricole*]]),"",IF(ISERROR(MATCH(FarmUnit[[#This Row],[1. Identifiant interne d’exploitation agricole*]],GroupMember[1. Identifiant interne d’exploitation agricole*],0)),FALSE,TRUE))</f>
        <v>1</v>
      </c>
      <c r="G237" s="192" t="str">
        <f t="shared" si="11"/>
        <v>7.08717</v>
      </c>
      <c r="H237" s="192" t="str">
        <f t="shared" si="12"/>
        <v>-7.60346</v>
      </c>
      <c r="I237" s="193" t="str">
        <f t="array" ref="I237">IF(ISBLANK(C237),"",IF(C237=MAX(IF([1. Identifiant interne d’exploitation agricole*]=A237,[3. Superficie de l’unité agricole (ha)*])),"!","-"))</f>
        <v>!</v>
      </c>
      <c r="J237" s="178" t="str">
        <f>IFERROR(CONCATENATE(VLOOKUP(A237,GM_Table,12,FALSE)," ",(VLOOKUP(A237,GM_Table,13,FALSE))),"")</f>
        <v/>
      </c>
    </row>
    <row r="238" spans="1:10">
      <c r="A238" s="189" t="s">
        <v>1578</v>
      </c>
      <c r="B238" s="190" t="s">
        <v>1578</v>
      </c>
      <c r="C238" s="191">
        <v>2.8653</v>
      </c>
      <c r="D238" s="200" t="s">
        <v>2326</v>
      </c>
      <c r="E238" s="200" t="s">
        <v>2327</v>
      </c>
      <c r="F238" s="177" t="b">
        <f>IF(ISBLANK(FarmUnit[[#This Row],[1. Identifiant interne d’exploitation agricole*]]),"",IF(ISERROR(MATCH(FarmUnit[[#This Row],[1. Identifiant interne d’exploitation agricole*]],GroupMember[1. Identifiant interne d’exploitation agricole*],0)),FALSE,TRUE))</f>
        <v>1</v>
      </c>
      <c r="G238" s="192" t="str">
        <f t="shared" si="11"/>
        <v>7.08367</v>
      </c>
      <c r="H238" s="192" t="str">
        <f t="shared" si="12"/>
        <v>-7.59058</v>
      </c>
      <c r="I238" s="193" t="str">
        <f t="array" ref="I238">IF(ISBLANK(C238),"",IF(C238=MAX(IF([1. Identifiant interne d’exploitation agricole*]=A238,[3. Superficie de l’unité agricole (ha)*])),"!","-"))</f>
        <v>!</v>
      </c>
      <c r="J238" s="178" t="str">
        <f>IFERROR(CONCATENATE(VLOOKUP(A238,GM_Table,12,FALSE)," ",(VLOOKUP(A238,GM_Table,13,FALSE))),"")</f>
        <v/>
      </c>
    </row>
    <row r="239" spans="1:10">
      <c r="A239" s="189" t="s">
        <v>1583</v>
      </c>
      <c r="B239" s="190" t="s">
        <v>1583</v>
      </c>
      <c r="C239" s="191">
        <v>1.6416999999999999</v>
      </c>
      <c r="D239" s="200" t="s">
        <v>2328</v>
      </c>
      <c r="E239" s="200" t="s">
        <v>2329</v>
      </c>
      <c r="F239" s="177" t="b">
        <f>IF(ISBLANK(FarmUnit[[#This Row],[1. Identifiant interne d’exploitation agricole*]]),"",IF(ISERROR(MATCH(FarmUnit[[#This Row],[1. Identifiant interne d’exploitation agricole*]],GroupMember[1. Identifiant interne d’exploitation agricole*],0)),FALSE,TRUE))</f>
        <v>1</v>
      </c>
      <c r="G239" s="192" t="str">
        <f t="shared" si="11"/>
        <v>7.09281</v>
      </c>
      <c r="H239" s="192" t="str">
        <f t="shared" si="12"/>
        <v>-7.57607</v>
      </c>
      <c r="I239" s="193" t="str">
        <f t="array" ref="I239">IF(ISBLANK(C239),"",IF(C239=MAX(IF([1. Identifiant interne d’exploitation agricole*]=A239,[3. Superficie de l’unité agricole (ha)*])),"!","-"))</f>
        <v>!</v>
      </c>
      <c r="J239" s="178" t="str">
        <f>IFERROR(CONCATENATE(VLOOKUP(A239,GM_Table,12,FALSE)," ",(VLOOKUP(A239,GM_Table,13,FALSE))),"")</f>
        <v/>
      </c>
    </row>
    <row r="240" spans="1:10">
      <c r="A240" s="189" t="s">
        <v>1587</v>
      </c>
      <c r="B240" s="190" t="s">
        <v>1587</v>
      </c>
      <c r="C240" s="191">
        <v>3.2936000000000001</v>
      </c>
      <c r="D240" s="200" t="s">
        <v>2330</v>
      </c>
      <c r="E240" s="200" t="s">
        <v>2331</v>
      </c>
      <c r="F240" s="177" t="b">
        <f>IF(ISBLANK(FarmUnit[[#This Row],[1. Identifiant interne d’exploitation agricole*]]),"",IF(ISERROR(MATCH(FarmUnit[[#This Row],[1. Identifiant interne d’exploitation agricole*]],GroupMember[1. Identifiant interne d’exploitation agricole*],0)),FALSE,TRUE))</f>
        <v>1</v>
      </c>
      <c r="G240" s="192" t="str">
        <f t="shared" si="11"/>
        <v>7.09265</v>
      </c>
      <c r="H240" s="192" t="str">
        <f t="shared" si="12"/>
        <v>-7.56005</v>
      </c>
      <c r="I240" s="193" t="str">
        <f t="array" ref="I240">IF(ISBLANK(C240),"",IF(C240=MAX(IF([1. Identifiant interne d’exploitation agricole*]=A240,[3. Superficie de l’unité agricole (ha)*])),"!","-"))</f>
        <v>!</v>
      </c>
      <c r="J240" s="178" t="str">
        <f>IFERROR(CONCATENATE(VLOOKUP(A240,GM_Table,12,FALSE)," ",(VLOOKUP(A240,GM_Table,13,FALSE))),"")</f>
        <v/>
      </c>
    </row>
    <row r="241" spans="1:10">
      <c r="A241" s="189" t="s">
        <v>1590</v>
      </c>
      <c r="B241" s="190" t="s">
        <v>1590</v>
      </c>
      <c r="C241" s="191">
        <v>4.3456999999999999</v>
      </c>
      <c r="D241" s="200" t="s">
        <v>2332</v>
      </c>
      <c r="E241" s="200" t="s">
        <v>2333</v>
      </c>
      <c r="F241" s="177" t="b">
        <f>IF(ISBLANK(FarmUnit[[#This Row],[1. Identifiant interne d’exploitation agricole*]]),"",IF(ISERROR(MATCH(FarmUnit[[#This Row],[1. Identifiant interne d’exploitation agricole*]],GroupMember[1. Identifiant interne d’exploitation agricole*],0)),FALSE,TRUE))</f>
        <v>1</v>
      </c>
      <c r="G241" s="192" t="str">
        <f t="shared" si="11"/>
        <v>7.10282</v>
      </c>
      <c r="H241" s="192" t="str">
        <f t="shared" si="12"/>
        <v>-7.57903</v>
      </c>
      <c r="I241" s="193" t="str">
        <f t="array" ref="I241">IF(ISBLANK(C241),"",IF(C241=MAX(IF([1. Identifiant interne d’exploitation agricole*]=A241,[3. Superficie de l’unité agricole (ha)*])),"!","-"))</f>
        <v>!</v>
      </c>
      <c r="J241" s="178" t="str">
        <f>IFERROR(CONCATENATE(VLOOKUP(A241,GM_Table,12,FALSE)," ",(VLOOKUP(A241,GM_Table,13,FALSE))),"")</f>
        <v/>
      </c>
    </row>
    <row r="242" spans="1:10">
      <c r="A242" s="189" t="s">
        <v>1595</v>
      </c>
      <c r="B242" s="190" t="s">
        <v>1595</v>
      </c>
      <c r="C242" s="191">
        <v>2.4037000000000002</v>
      </c>
      <c r="D242" s="200" t="s">
        <v>2334</v>
      </c>
      <c r="E242" s="200" t="s">
        <v>2335</v>
      </c>
      <c r="F242" s="177" t="b">
        <f>IF(ISBLANK(FarmUnit[[#This Row],[1. Identifiant interne d’exploitation agricole*]]),"",IF(ISERROR(MATCH(FarmUnit[[#This Row],[1. Identifiant interne d’exploitation agricole*]],GroupMember[1. Identifiant interne d’exploitation agricole*],0)),FALSE,TRUE))</f>
        <v>1</v>
      </c>
      <c r="G242" s="192" t="str">
        <f t="shared" si="11"/>
        <v>7.09853</v>
      </c>
      <c r="H242" s="192" t="str">
        <f t="shared" si="12"/>
        <v>-7.59048</v>
      </c>
      <c r="I242" s="193" t="str">
        <f t="array" ref="I242">IF(ISBLANK(C242),"",IF(C242=MAX(IF([1. Identifiant interne d’exploitation agricole*]=A242,[3. Superficie de l’unité agricole (ha)*])),"!","-"))</f>
        <v>!</v>
      </c>
      <c r="J242" s="178" t="str">
        <f>IFERROR(CONCATENATE(VLOOKUP(A242,GM_Table,12,FALSE)," ",(VLOOKUP(A242,GM_Table,13,FALSE))),"")</f>
        <v/>
      </c>
    </row>
    <row r="243" spans="1:10">
      <c r="A243" s="189" t="s">
        <v>1597</v>
      </c>
      <c r="B243" s="190" t="s">
        <v>1597</v>
      </c>
      <c r="C243" s="191">
        <v>3.0255999999999998</v>
      </c>
      <c r="D243" s="200" t="s">
        <v>2336</v>
      </c>
      <c r="E243" s="200" t="s">
        <v>2337</v>
      </c>
      <c r="F243" s="177" t="b">
        <f>IF(ISBLANK(FarmUnit[[#This Row],[1. Identifiant interne d’exploitation agricole*]]),"",IF(ISERROR(MATCH(FarmUnit[[#This Row],[1. Identifiant interne d’exploitation agricole*]],GroupMember[1. Identifiant interne d’exploitation agricole*],0)),FALSE,TRUE))</f>
        <v>1</v>
      </c>
      <c r="G243" s="192" t="str">
        <f t="shared" si="11"/>
        <v>7.09829</v>
      </c>
      <c r="H243" s="192" t="str">
        <f t="shared" si="12"/>
        <v>-7.60185</v>
      </c>
      <c r="I243" s="193" t="str">
        <f t="array" ref="I243">IF(ISBLANK(C243),"",IF(C243=MAX(IF([1. Identifiant interne d’exploitation agricole*]=A243,[3. Superficie de l’unité agricole (ha)*])),"!","-"))</f>
        <v>!</v>
      </c>
      <c r="J243" s="178" t="str">
        <f>IFERROR(CONCATENATE(VLOOKUP(A243,GM_Table,12,FALSE)," ",(VLOOKUP(A243,GM_Table,13,FALSE))),"")</f>
        <v/>
      </c>
    </row>
    <row r="244" spans="1:10">
      <c r="A244" s="189" t="s">
        <v>1601</v>
      </c>
      <c r="B244" s="189" t="s">
        <v>1601</v>
      </c>
      <c r="C244" s="191">
        <v>1.9868999999999999</v>
      </c>
      <c r="D244" s="200" t="s">
        <v>2338</v>
      </c>
      <c r="E244" s="200" t="s">
        <v>2339</v>
      </c>
      <c r="F244" s="177" t="b">
        <f>IF(ISBLANK(FarmUnit[[#This Row],[1. Identifiant interne d’exploitation agricole*]]),"",IF(ISERROR(MATCH(FarmUnit[[#This Row],[1. Identifiant interne d’exploitation agricole*]],GroupMember[1. Identifiant interne d’exploitation agricole*],0)),FALSE,TRUE))</f>
        <v>1</v>
      </c>
      <c r="G244" s="192" t="str">
        <f t="shared" si="11"/>
        <v>7.07834</v>
      </c>
      <c r="H244" s="192" t="str">
        <f t="shared" si="12"/>
        <v>-7.60378</v>
      </c>
      <c r="I244" s="193" t="str">
        <f t="array" ref="I244">IF(ISBLANK(C244),"",IF(C244=MAX(IF([1. Identifiant interne d’exploitation agricole*]=A244,[3. Superficie de l’unité agricole (ha)*])),"!","-"))</f>
        <v>!</v>
      </c>
      <c r="J244" s="178" t="str">
        <f>IFERROR(CONCATENATE(VLOOKUP(A244,GM_Table,12,FALSE)," ",(VLOOKUP(A244,GM_Table,13,FALSE))),"")</f>
        <v/>
      </c>
    </row>
    <row r="245" spans="1:10">
      <c r="A245" s="189" t="s">
        <v>1604</v>
      </c>
      <c r="B245" s="189" t="s">
        <v>1604</v>
      </c>
      <c r="C245" s="191">
        <v>2.3353000000000002</v>
      </c>
      <c r="D245" s="200" t="s">
        <v>2340</v>
      </c>
      <c r="E245" s="200" t="s">
        <v>2341</v>
      </c>
      <c r="F245" s="177" t="b">
        <f>IF(ISBLANK(FarmUnit[[#This Row],[1. Identifiant interne d’exploitation agricole*]]),"",IF(ISERROR(MATCH(FarmUnit[[#This Row],[1. Identifiant interne d’exploitation agricole*]],GroupMember[1. Identifiant interne d’exploitation agricole*],0)),FALSE,TRUE))</f>
        <v>1</v>
      </c>
      <c r="G245" s="192" t="str">
        <f t="shared" si="11"/>
        <v>7.09472</v>
      </c>
      <c r="H245" s="192" t="str">
        <f t="shared" si="12"/>
        <v>-7.63893</v>
      </c>
      <c r="I245" s="193" t="str">
        <f t="array" ref="I245">IF(ISBLANK(C245),"",IF(C245=MAX(IF([1. Identifiant interne d’exploitation agricole*]=A245,[3. Superficie de l’unité agricole (ha)*])),"!","-"))</f>
        <v>!</v>
      </c>
      <c r="J245" s="178" t="str">
        <f>IFERROR(CONCATENATE(VLOOKUP(A245,GM_Table,12,FALSE)," ",(VLOOKUP(A245,GM_Table,13,FALSE))),"")</f>
        <v/>
      </c>
    </row>
    <row r="246" spans="1:10">
      <c r="A246" s="189" t="s">
        <v>1607</v>
      </c>
      <c r="B246" s="189" t="s">
        <v>1607</v>
      </c>
      <c r="C246" s="191">
        <v>1.6932</v>
      </c>
      <c r="D246" s="200" t="s">
        <v>2342</v>
      </c>
      <c r="E246" s="200" t="s">
        <v>2343</v>
      </c>
      <c r="F246" s="177" t="b">
        <f>IF(ISBLANK(FarmUnit[[#This Row],[1. Identifiant interne d’exploitation agricole*]]),"",IF(ISERROR(MATCH(FarmUnit[[#This Row],[1. Identifiant interne d’exploitation agricole*]],GroupMember[1. Identifiant interne d’exploitation agricole*],0)),FALSE,TRUE))</f>
        <v>1</v>
      </c>
      <c r="G246" s="192" t="str">
        <f t="shared" si="11"/>
        <v>7.11466</v>
      </c>
      <c r="H246" s="192" t="str">
        <f t="shared" si="12"/>
        <v>-7.64021</v>
      </c>
      <c r="I246" s="193" t="str">
        <f t="array" ref="I246">IF(ISBLANK(C246),"",IF(C246=MAX(IF([1. Identifiant interne d’exploitation agricole*]=A246,[3. Superficie de l’unité agricole (ha)*])),"!","-"))</f>
        <v>!</v>
      </c>
      <c r="J246" s="178" t="str">
        <f>IFERROR(CONCATENATE(VLOOKUP(A246,GM_Table,12,FALSE)," ",(VLOOKUP(A246,GM_Table,13,FALSE))),"")</f>
        <v/>
      </c>
    </row>
    <row r="247" spans="1:10">
      <c r="A247" s="189" t="s">
        <v>1611</v>
      </c>
      <c r="B247" s="190" t="s">
        <v>1611</v>
      </c>
      <c r="C247" s="191">
        <v>1.1197999999999999</v>
      </c>
      <c r="D247" s="200" t="s">
        <v>2344</v>
      </c>
      <c r="E247" s="200" t="s">
        <v>2345</v>
      </c>
      <c r="F247" s="177" t="b">
        <f>IF(ISBLANK(FarmUnit[[#This Row],[1. Identifiant interne d’exploitation agricole*]]),"",IF(ISERROR(MATCH(FarmUnit[[#This Row],[1. Identifiant interne d’exploitation agricole*]],GroupMember[1. Identifiant interne d’exploitation agricole*],0)),FALSE,TRUE))</f>
        <v>1</v>
      </c>
      <c r="G247" s="192" t="str">
        <f t="shared" si="11"/>
        <v>7.11077</v>
      </c>
      <c r="H247" s="192" t="str">
        <f t="shared" si="12"/>
        <v>-7.50455</v>
      </c>
      <c r="I247" s="193" t="str">
        <f t="array" ref="I247">IF(ISBLANK(C247),"",IF(C247=MAX(IF([1. Identifiant interne d’exploitation agricole*]=A247,[3. Superficie de l’unité agricole (ha)*])),"!","-"))</f>
        <v>!</v>
      </c>
      <c r="J247" s="178" t="str">
        <f>IFERROR(CONCATENATE(VLOOKUP(A247,GM_Table,12,FALSE)," ",(VLOOKUP(A247,GM_Table,13,FALSE))),"")</f>
        <v/>
      </c>
    </row>
    <row r="248" spans="1:10">
      <c r="A248" s="189" t="s">
        <v>1614</v>
      </c>
      <c r="B248" s="190" t="s">
        <v>1614</v>
      </c>
      <c r="C248" s="191">
        <v>0.90739999999999998</v>
      </c>
      <c r="D248" s="200" t="s">
        <v>2346</v>
      </c>
      <c r="E248" s="200" t="s">
        <v>2347</v>
      </c>
      <c r="F248" s="177" t="b">
        <f>IF(ISBLANK(FarmUnit[[#This Row],[1. Identifiant interne d’exploitation agricole*]]),"",IF(ISERROR(MATCH(FarmUnit[[#This Row],[1. Identifiant interne d’exploitation agricole*]],GroupMember[1. Identifiant interne d’exploitation agricole*],0)),FALSE,TRUE))</f>
        <v>1</v>
      </c>
      <c r="G248" s="192" t="str">
        <f t="shared" si="11"/>
        <v>7.1354</v>
      </c>
      <c r="H248" s="192" t="str">
        <f t="shared" si="12"/>
        <v>-7.47076</v>
      </c>
      <c r="I248" s="193" t="str">
        <f t="array" ref="I248">IF(ISBLANK(C248),"",IF(C248=MAX(IF([1. Identifiant interne d’exploitation agricole*]=A248,[3. Superficie de l’unité agricole (ha)*])),"!","-"))</f>
        <v>!</v>
      </c>
      <c r="J248" s="178" t="str">
        <f>IFERROR(CONCATENATE(VLOOKUP(A248,GM_Table,12,FALSE)," ",(VLOOKUP(A248,GM_Table,13,FALSE))),"")</f>
        <v/>
      </c>
    </row>
    <row r="249" spans="1:10">
      <c r="A249" s="189" t="s">
        <v>1619</v>
      </c>
      <c r="B249" s="189" t="s">
        <v>1619</v>
      </c>
      <c r="C249" s="191">
        <v>4.6650999999999998</v>
      </c>
      <c r="D249" s="200" t="s">
        <v>2348</v>
      </c>
      <c r="E249" s="200" t="s">
        <v>2349</v>
      </c>
      <c r="F249" s="177" t="b">
        <f>IF(ISBLANK(FarmUnit[[#This Row],[1. Identifiant interne d’exploitation agricole*]]),"",IF(ISERROR(MATCH(FarmUnit[[#This Row],[1. Identifiant interne d’exploitation agricole*]],GroupMember[1. Identifiant interne d’exploitation agricole*],0)),FALSE,TRUE))</f>
        <v>1</v>
      </c>
      <c r="G249" s="192" t="str">
        <f t="shared" si="11"/>
        <v>7.15145</v>
      </c>
      <c r="H249" s="192" t="str">
        <f t="shared" si="12"/>
        <v>-7.46844</v>
      </c>
      <c r="I249" s="193" t="str">
        <f t="array" ref="I249">IF(ISBLANK(C249),"",IF(C249=MAX(IF([1. Identifiant interne d’exploitation agricole*]=A249,[3. Superficie de l’unité agricole (ha)*])),"!","-"))</f>
        <v>!</v>
      </c>
      <c r="J249" s="178" t="str">
        <f>IFERROR(CONCATENATE(VLOOKUP(A249,GM_Table,12,FALSE)," ",(VLOOKUP(A249,GM_Table,13,FALSE))),"")</f>
        <v/>
      </c>
    </row>
    <row r="250" spans="1:10">
      <c r="A250" s="189" t="s">
        <v>1623</v>
      </c>
      <c r="B250" s="190" t="s">
        <v>1623</v>
      </c>
      <c r="C250" s="191">
        <v>0.46939999999999998</v>
      </c>
      <c r="D250" s="200" t="s">
        <v>2350</v>
      </c>
      <c r="E250" s="200" t="s">
        <v>2351</v>
      </c>
      <c r="F250" s="177" t="b">
        <f>IF(ISBLANK(FarmUnit[[#This Row],[1. Identifiant interne d’exploitation agricole*]]),"",IF(ISERROR(MATCH(FarmUnit[[#This Row],[1. Identifiant interne d’exploitation agricole*]],GroupMember[1. Identifiant interne d’exploitation agricole*],0)),FALSE,TRUE))</f>
        <v>1</v>
      </c>
      <c r="G250" s="192" t="str">
        <f t="shared" si="11"/>
        <v>7.21208</v>
      </c>
      <c r="H250" s="192" t="str">
        <f t="shared" si="12"/>
        <v>-7.44257</v>
      </c>
      <c r="I250" s="193" t="str">
        <f t="array" ref="I250">IF(ISBLANK(C250),"",IF(C250=MAX(IF([1. Identifiant interne d’exploitation agricole*]=A250,[3. Superficie de l’unité agricole (ha)*])),"!","-"))</f>
        <v>!</v>
      </c>
      <c r="J250" s="178" t="str">
        <f>IFERROR(CONCATENATE(VLOOKUP(A250,GM_Table,12,FALSE)," ",(VLOOKUP(A250,GM_Table,13,FALSE))),"")</f>
        <v/>
      </c>
    </row>
    <row r="251" spans="1:10">
      <c r="A251" s="189" t="s">
        <v>1627</v>
      </c>
      <c r="B251" s="189" t="s">
        <v>1627</v>
      </c>
      <c r="C251" s="191">
        <v>1.0594000000000001</v>
      </c>
      <c r="D251" s="200" t="s">
        <v>2352</v>
      </c>
      <c r="E251" s="200" t="s">
        <v>2353</v>
      </c>
      <c r="F251" s="177" t="b">
        <f>IF(ISBLANK(FarmUnit[[#This Row],[1. Identifiant interne d’exploitation agricole*]]),"",IF(ISERROR(MATCH(FarmUnit[[#This Row],[1. Identifiant interne d’exploitation agricole*]],GroupMember[1. Identifiant interne d’exploitation agricole*],0)),FALSE,TRUE))</f>
        <v>1</v>
      </c>
      <c r="G251" s="192" t="str">
        <f t="shared" si="11"/>
        <v>7.24394</v>
      </c>
      <c r="H251" s="192" t="str">
        <f t="shared" si="12"/>
        <v>-7.44954</v>
      </c>
      <c r="I251" s="193" t="str">
        <f t="array" ref="I251">IF(ISBLANK(C251),"",IF(C251=MAX(IF([1. Identifiant interne d’exploitation agricole*]=A251,[3. Superficie de l’unité agricole (ha)*])),"!","-"))</f>
        <v>!</v>
      </c>
      <c r="J251" s="178" t="str">
        <f>IFERROR(CONCATENATE(VLOOKUP(A251,GM_Table,12,FALSE)," ",(VLOOKUP(A251,GM_Table,13,FALSE))),"")</f>
        <v/>
      </c>
    </row>
    <row r="252" spans="1:10">
      <c r="A252" s="189" t="s">
        <v>1631</v>
      </c>
      <c r="B252" s="190" t="s">
        <v>1631</v>
      </c>
      <c r="C252" s="191">
        <v>3.8622000000000001</v>
      </c>
      <c r="D252" s="200" t="s">
        <v>2354</v>
      </c>
      <c r="E252" s="200" t="s">
        <v>2355</v>
      </c>
      <c r="F252" s="177" t="b">
        <f>IF(ISBLANK(FarmUnit[[#This Row],[1. Identifiant interne d’exploitation agricole*]]),"",IF(ISERROR(MATCH(FarmUnit[[#This Row],[1. Identifiant interne d’exploitation agricole*]],GroupMember[1. Identifiant interne d’exploitation agricole*],0)),FALSE,TRUE))</f>
        <v>1</v>
      </c>
      <c r="G252" s="192" t="str">
        <f t="shared" si="11"/>
        <v>7.22956</v>
      </c>
      <c r="H252" s="192" t="str">
        <f t="shared" si="12"/>
        <v>-7.45034</v>
      </c>
      <c r="I252" s="193" t="str">
        <f t="array" ref="I252">IF(ISBLANK(C252),"",IF(C252=MAX(IF([1. Identifiant interne d’exploitation agricole*]=A252,[3. Superficie de l’unité agricole (ha)*])),"!","-"))</f>
        <v>!</v>
      </c>
      <c r="J252" s="178" t="str">
        <f>IFERROR(CONCATENATE(VLOOKUP(A252,GM_Table,12,FALSE)," ",(VLOOKUP(A252,GM_Table,13,FALSE))),"")</f>
        <v/>
      </c>
    </row>
    <row r="253" spans="1:10">
      <c r="A253" s="189" t="s">
        <v>1634</v>
      </c>
      <c r="B253" s="190" t="s">
        <v>1634</v>
      </c>
      <c r="C253" s="191">
        <v>0.80200000000000005</v>
      </c>
      <c r="D253" s="200" t="s">
        <v>2356</v>
      </c>
      <c r="E253" s="200" t="s">
        <v>2357</v>
      </c>
      <c r="F253" s="177" t="b">
        <f>IF(ISBLANK(FarmUnit[[#This Row],[1. Identifiant interne d’exploitation agricole*]]),"",IF(ISERROR(MATCH(FarmUnit[[#This Row],[1. Identifiant interne d’exploitation agricole*]],GroupMember[1. Identifiant interne d’exploitation agricole*],0)),FALSE,TRUE))</f>
        <v>1</v>
      </c>
      <c r="G253" s="192" t="str">
        <f t="shared" si="11"/>
        <v>7.28207</v>
      </c>
      <c r="H253" s="192" t="str">
        <f t="shared" si="12"/>
        <v>-7.47789</v>
      </c>
      <c r="I253" s="193" t="str">
        <f t="array" ref="I253">IF(ISBLANK(C253),"",IF(C253=MAX(IF([1. Identifiant interne d’exploitation agricole*]=A253,[3. Superficie de l’unité agricole (ha)*])),"!","-"))</f>
        <v>!</v>
      </c>
      <c r="J253" s="178" t="str">
        <f>IFERROR(CONCATENATE(VLOOKUP(A253,GM_Table,12,FALSE)," ",(VLOOKUP(A253,GM_Table,13,FALSE))),"")</f>
        <v/>
      </c>
    </row>
    <row r="254" spans="1:10">
      <c r="A254" s="189" t="s">
        <v>1638</v>
      </c>
      <c r="B254" s="190" t="s">
        <v>1638</v>
      </c>
      <c r="C254" s="191">
        <v>2.5871</v>
      </c>
      <c r="D254" s="200" t="s">
        <v>2358</v>
      </c>
      <c r="E254" s="200" t="s">
        <v>2359</v>
      </c>
      <c r="F254" s="177" t="b">
        <f>IF(ISBLANK(FarmUnit[[#This Row],[1. Identifiant interne d’exploitation agricole*]]),"",IF(ISERROR(MATCH(FarmUnit[[#This Row],[1. Identifiant interne d’exploitation agricole*]],GroupMember[1. Identifiant interne d’exploitation agricole*],0)),FALSE,TRUE))</f>
        <v>1</v>
      </c>
      <c r="G254" s="192" t="str">
        <f t="shared" si="11"/>
        <v>7.29152</v>
      </c>
      <c r="H254" s="192" t="str">
        <f t="shared" si="12"/>
        <v>-7.49302</v>
      </c>
      <c r="I254" s="193" t="str">
        <f t="array" ref="I254">IF(ISBLANK(C254),"",IF(C254=MAX(IF([1. Identifiant interne d’exploitation agricole*]=A254,[3. Superficie de l’unité agricole (ha)*])),"!","-"))</f>
        <v>!</v>
      </c>
      <c r="J254" s="178" t="str">
        <f>IFERROR(CONCATENATE(VLOOKUP(A254,GM_Table,12,FALSE)," ",(VLOOKUP(A254,GM_Table,13,FALSE))),"")</f>
        <v/>
      </c>
    </row>
    <row r="255" spans="1:10">
      <c r="A255" s="189" t="s">
        <v>1641</v>
      </c>
      <c r="B255" s="190" t="s">
        <v>1641</v>
      </c>
      <c r="C255" s="191">
        <v>1.1451</v>
      </c>
      <c r="D255" s="200" t="s">
        <v>2360</v>
      </c>
      <c r="E255" s="200" t="s">
        <v>2361</v>
      </c>
      <c r="F255" s="177" t="b">
        <f>IF(ISBLANK(FarmUnit[[#This Row],[1. Identifiant interne d’exploitation agricole*]]),"",IF(ISERROR(MATCH(FarmUnit[[#This Row],[1. Identifiant interne d’exploitation agricole*]],GroupMember[1. Identifiant interne d’exploitation agricole*],0)),FALSE,TRUE))</f>
        <v>1</v>
      </c>
      <c r="G255" s="192" t="str">
        <f t="shared" si="11"/>
        <v>7.20596</v>
      </c>
      <c r="H255" s="192" t="str">
        <f t="shared" si="12"/>
        <v>-7.65815</v>
      </c>
      <c r="I255" s="193" t="str">
        <f t="array" ref="I255">IF(ISBLANK(C255),"",IF(C255=MAX(IF([1. Identifiant interne d’exploitation agricole*]=A255,[3. Superficie de l’unité agricole (ha)*])),"!","-"))</f>
        <v>!</v>
      </c>
      <c r="J255" s="178" t="str">
        <f>IFERROR(CONCATENATE(VLOOKUP(A255,GM_Table,12,FALSE)," ",(VLOOKUP(A255,GM_Table,13,FALSE))),"")</f>
        <v/>
      </c>
    </row>
    <row r="256" spans="1:10">
      <c r="A256" s="189" t="s">
        <v>1645</v>
      </c>
      <c r="B256" s="190" t="s">
        <v>1645</v>
      </c>
      <c r="C256" s="191">
        <v>2.0179</v>
      </c>
      <c r="D256" s="200" t="s">
        <v>2362</v>
      </c>
      <c r="E256" s="200" t="s">
        <v>2363</v>
      </c>
      <c r="F256" s="177" t="b">
        <f>IF(ISBLANK(FarmUnit[[#This Row],[1. Identifiant interne d’exploitation agricole*]]),"",IF(ISERROR(MATCH(FarmUnit[[#This Row],[1. Identifiant interne d’exploitation agricole*]],GroupMember[1. Identifiant interne d’exploitation agricole*],0)),FALSE,TRUE))</f>
        <v>1</v>
      </c>
      <c r="G256" s="192" t="str">
        <f t="shared" si="11"/>
        <v>7.20567</v>
      </c>
      <c r="H256" s="192" t="str">
        <f t="shared" si="12"/>
        <v>-7.65906</v>
      </c>
      <c r="I256" s="193" t="str">
        <f t="array" ref="I256">IF(ISBLANK(C256),"",IF(C256=MAX(IF([1. Identifiant interne d’exploitation agricole*]=A256,[3. Superficie de l’unité agricole (ha)*])),"!","-"))</f>
        <v>!</v>
      </c>
      <c r="J256" s="178" t="str">
        <f>IFERROR(CONCATENATE(VLOOKUP(A256,GM_Table,12,FALSE)," ",(VLOOKUP(A256,GM_Table,13,FALSE))),"")</f>
        <v/>
      </c>
    </row>
    <row r="257" spans="1:10">
      <c r="A257" s="189" t="s">
        <v>1649</v>
      </c>
      <c r="B257" s="190" t="s">
        <v>1649</v>
      </c>
      <c r="C257" s="191">
        <v>1.2076</v>
      </c>
      <c r="D257" s="200" t="s">
        <v>2364</v>
      </c>
      <c r="E257" s="200" t="s">
        <v>2365</v>
      </c>
      <c r="F257" s="177" t="b">
        <f>IF(ISBLANK(FarmUnit[[#This Row],[1. Identifiant interne d’exploitation agricole*]]),"",IF(ISERROR(MATCH(FarmUnit[[#This Row],[1. Identifiant interne d’exploitation agricole*]],GroupMember[1. Identifiant interne d’exploitation agricole*],0)),FALSE,TRUE))</f>
        <v>1</v>
      </c>
      <c r="G257" s="192" t="str">
        <f t="shared" si="11"/>
        <v>7.20463</v>
      </c>
      <c r="H257" s="192" t="str">
        <f t="shared" si="12"/>
        <v>-7.66002</v>
      </c>
      <c r="I257" s="193" t="str">
        <f t="array" ref="I257">IF(ISBLANK(C257),"",IF(C257=MAX(IF([1. Identifiant interne d’exploitation agricole*]=A257,[3. Superficie de l’unité agricole (ha)*])),"!","-"))</f>
        <v>!</v>
      </c>
      <c r="J257" s="178" t="str">
        <f>IFERROR(CONCATENATE(VLOOKUP(A257,GM_Table,12,FALSE)," ",(VLOOKUP(A257,GM_Table,13,FALSE))),"")</f>
        <v/>
      </c>
    </row>
    <row r="258" spans="1:10">
      <c r="A258" s="189" t="s">
        <v>1652</v>
      </c>
      <c r="B258" s="190" t="s">
        <v>1652</v>
      </c>
      <c r="C258" s="191">
        <v>0.52910000000000001</v>
      </c>
      <c r="D258" s="200" t="s">
        <v>2366</v>
      </c>
      <c r="E258" s="200" t="s">
        <v>2367</v>
      </c>
      <c r="F258" s="177" t="b">
        <f>IF(ISBLANK(FarmUnit[[#This Row],[1. Identifiant interne d’exploitation agricole*]]),"",IF(ISERROR(MATCH(FarmUnit[[#This Row],[1. Identifiant interne d’exploitation agricole*]],GroupMember[1. Identifiant interne d’exploitation agricole*],0)),FALSE,TRUE))</f>
        <v>1</v>
      </c>
      <c r="G258" s="192" t="str">
        <f t="shared" si="11"/>
        <v>7.20397</v>
      </c>
      <c r="H258" s="192" t="str">
        <f t="shared" si="12"/>
        <v>-7.65885</v>
      </c>
      <c r="I258" s="193" t="str">
        <f t="array" ref="I258">IF(ISBLANK(C258),"",IF(C258=MAX(IF([1. Identifiant interne d’exploitation agricole*]=A258,[3. Superficie de l’unité agricole (ha)*])),"!","-"))</f>
        <v>!</v>
      </c>
      <c r="J258" s="178" t="str">
        <f>IFERROR(CONCATENATE(VLOOKUP(A258,GM_Table,12,FALSE)," ",(VLOOKUP(A258,GM_Table,13,FALSE))),"")</f>
        <v/>
      </c>
    </row>
    <row r="259" spans="1:10">
      <c r="A259" s="189" t="s">
        <v>1657</v>
      </c>
      <c r="B259" s="190" t="s">
        <v>1657</v>
      </c>
      <c r="C259" s="191">
        <v>1.5265</v>
      </c>
      <c r="D259" s="200" t="s">
        <v>2368</v>
      </c>
      <c r="E259" s="200" t="s">
        <v>2369</v>
      </c>
      <c r="F259" s="177" t="b">
        <f>IF(ISBLANK(FarmUnit[[#This Row],[1. Identifiant interne d’exploitation agricole*]]),"",IF(ISERROR(MATCH(FarmUnit[[#This Row],[1. Identifiant interne d’exploitation agricole*]],GroupMember[1. Identifiant interne d’exploitation agricole*],0)),FALSE,TRUE))</f>
        <v>1</v>
      </c>
      <c r="G259" s="192" t="str">
        <f t="shared" si="11"/>
        <v>7.20365</v>
      </c>
      <c r="H259" s="192" t="str">
        <f t="shared" si="12"/>
        <v>-7.65712</v>
      </c>
      <c r="I259" s="193" t="str">
        <f t="array" ref="I259">IF(ISBLANK(C259),"",IF(C259=MAX(IF([1. Identifiant interne d’exploitation agricole*]=A259,[3. Superficie de l’unité agricole (ha)*])),"!","-"))</f>
        <v>!</v>
      </c>
      <c r="J259" s="178" t="str">
        <f>IFERROR(CONCATENATE(VLOOKUP(A259,GM_Table,12,FALSE)," ",(VLOOKUP(A259,GM_Table,13,FALSE))),"")</f>
        <v/>
      </c>
    </row>
    <row r="260" spans="1:10">
      <c r="A260" s="189" t="s">
        <v>1660</v>
      </c>
      <c r="B260" s="190" t="s">
        <v>1660</v>
      </c>
      <c r="C260" s="191">
        <v>1.1449</v>
      </c>
      <c r="D260" s="200" t="s">
        <v>2370</v>
      </c>
      <c r="E260" s="200" t="s">
        <v>2371</v>
      </c>
      <c r="F260" s="177" t="b">
        <f>IF(ISBLANK(FarmUnit[[#This Row],[1. Identifiant interne d’exploitation agricole*]]),"",IF(ISERROR(MATCH(FarmUnit[[#This Row],[1. Identifiant interne d’exploitation agricole*]],GroupMember[1. Identifiant interne d’exploitation agricole*],0)),FALSE,TRUE))</f>
        <v>1</v>
      </c>
      <c r="G260" s="192" t="str">
        <f t="shared" si="11"/>
        <v>7.2049</v>
      </c>
      <c r="H260" s="192" t="str">
        <f t="shared" si="12"/>
        <v>-7.65635</v>
      </c>
      <c r="I260" s="193" t="str">
        <f t="array" ref="I260">IF(ISBLANK(C260),"",IF(C260=MAX(IF([1. Identifiant interne d’exploitation agricole*]=A260,[3. Superficie de l’unité agricole (ha)*])),"!","-"))</f>
        <v>!</v>
      </c>
      <c r="J260" s="178" t="str">
        <f>IFERROR(CONCATENATE(VLOOKUP(A260,GM_Table,12,FALSE)," ",(VLOOKUP(A260,GM_Table,13,FALSE))),"")</f>
        <v/>
      </c>
    </row>
    <row r="261" spans="1:10">
      <c r="A261" s="189" t="s">
        <v>1665</v>
      </c>
      <c r="B261" s="190" t="s">
        <v>1665</v>
      </c>
      <c r="C261" s="191">
        <v>1.4474</v>
      </c>
      <c r="D261" s="200" t="s">
        <v>2372</v>
      </c>
      <c r="E261" s="200" t="s">
        <v>2373</v>
      </c>
      <c r="F261" s="177" t="b">
        <f>IF(ISBLANK(FarmUnit[[#This Row],[1. Identifiant interne d’exploitation agricole*]]),"",IF(ISERROR(MATCH(FarmUnit[[#This Row],[1. Identifiant interne d’exploitation agricole*]],GroupMember[1. Identifiant interne d’exploitation agricole*],0)),FALSE,TRUE))</f>
        <v>1</v>
      </c>
      <c r="G261" s="192" t="str">
        <f t="shared" si="11"/>
        <v>7.20598</v>
      </c>
      <c r="H261" s="192" t="str">
        <f t="shared" si="12"/>
        <v>-7.65696</v>
      </c>
      <c r="I261" s="193" t="str">
        <f t="array" ref="I261">IF(ISBLANK(C261),"",IF(C261=MAX(IF([1. Identifiant interne d’exploitation agricole*]=A261,[3. Superficie de l’unité agricole (ha)*])),"!","-"))</f>
        <v>!</v>
      </c>
      <c r="J261" s="178" t="str">
        <f>IFERROR(CONCATENATE(VLOOKUP(A261,GM_Table,12,FALSE)," ",(VLOOKUP(A261,GM_Table,13,FALSE))),"")</f>
        <v/>
      </c>
    </row>
    <row r="262" spans="1:10">
      <c r="A262" s="189" t="s">
        <v>1669</v>
      </c>
      <c r="B262" s="189" t="s">
        <v>1669</v>
      </c>
      <c r="C262" s="191">
        <v>1.9128000000000001</v>
      </c>
      <c r="D262" s="200" t="s">
        <v>2374</v>
      </c>
      <c r="E262" s="200" t="s">
        <v>2375</v>
      </c>
      <c r="F262" s="177" t="b">
        <f>IF(ISBLANK(FarmUnit[[#This Row],[1. Identifiant interne d’exploitation agricole*]]),"",IF(ISERROR(MATCH(FarmUnit[[#This Row],[1. Identifiant interne d’exploitation agricole*]],GroupMember[1. Identifiant interne d’exploitation agricole*],0)),FALSE,TRUE))</f>
        <v>1</v>
      </c>
      <c r="G262" s="192" t="str">
        <f t="shared" si="11"/>
        <v>7.2015</v>
      </c>
      <c r="H262" s="192" t="str">
        <f t="shared" si="12"/>
        <v>-7.65735</v>
      </c>
      <c r="I262" s="193" t="str">
        <f t="array" ref="I262">IF(ISBLANK(C262),"",IF(C262=MAX(IF([1. Identifiant interne d’exploitation agricole*]=A262,[3. Superficie de l’unité agricole (ha)*])),"!","-"))</f>
        <v>!</v>
      </c>
      <c r="J262" s="178" t="str">
        <f>IFERROR(CONCATENATE(VLOOKUP(A262,GM_Table,12,FALSE)," ",(VLOOKUP(A262,GM_Table,13,FALSE))),"")</f>
        <v/>
      </c>
    </row>
    <row r="263" spans="1:10">
      <c r="A263" s="189" t="s">
        <v>1673</v>
      </c>
      <c r="B263" s="190" t="s">
        <v>1673</v>
      </c>
      <c r="C263" s="191">
        <v>1.2091000000000001</v>
      </c>
      <c r="D263" s="200" t="s">
        <v>2376</v>
      </c>
      <c r="E263" s="200" t="s">
        <v>2377</v>
      </c>
      <c r="F263" s="177" t="b">
        <f>IF(ISBLANK(FarmUnit[[#This Row],[1. Identifiant interne d’exploitation agricole*]]),"",IF(ISERROR(MATCH(FarmUnit[[#This Row],[1. Identifiant interne d’exploitation agricole*]],GroupMember[1. Identifiant interne d’exploitation agricole*],0)),FALSE,TRUE))</f>
        <v>1</v>
      </c>
      <c r="G263" s="192" t="str">
        <f t="shared" si="11"/>
        <v>7.20244</v>
      </c>
      <c r="H263" s="192" t="str">
        <f t="shared" si="12"/>
        <v>-7.654</v>
      </c>
      <c r="I263" s="193" t="str">
        <f t="array" ref="I263">IF(ISBLANK(C263),"",IF(C263=MAX(IF([1. Identifiant interne d’exploitation agricole*]=A263,[3. Superficie de l’unité agricole (ha)*])),"!","-"))</f>
        <v>!</v>
      </c>
      <c r="J263" s="178" t="str">
        <f>IFERROR(CONCATENATE(VLOOKUP(A263,GM_Table,12,FALSE)," ",(VLOOKUP(A263,GM_Table,13,FALSE))),"")</f>
        <v/>
      </c>
    </row>
    <row r="264" spans="1:10">
      <c r="A264" s="189" t="s">
        <v>1677</v>
      </c>
      <c r="B264" s="190" t="s">
        <v>1677</v>
      </c>
      <c r="C264" s="191">
        <v>0.88929999999999998</v>
      </c>
      <c r="D264" s="200" t="s">
        <v>2378</v>
      </c>
      <c r="E264" s="200" t="s">
        <v>2379</v>
      </c>
      <c r="F264" s="177" t="b">
        <f>IF(ISBLANK(FarmUnit[[#This Row],[1. Identifiant interne d’exploitation agricole*]]),"",IF(ISERROR(MATCH(FarmUnit[[#This Row],[1. Identifiant interne d’exploitation agricole*]],GroupMember[1. Identifiant interne d’exploitation agricole*],0)),FALSE,TRUE))</f>
        <v>1</v>
      </c>
      <c r="G264" s="192" t="str">
        <f t="shared" si="11"/>
        <v>7.20348</v>
      </c>
      <c r="H264" s="192" t="str">
        <f t="shared" si="12"/>
        <v>-7.65534</v>
      </c>
      <c r="I264" s="193" t="str">
        <f t="array" ref="I264">IF(ISBLANK(C264),"",IF(C264=MAX(IF([1. Identifiant interne d’exploitation agricole*]=A264,[3. Superficie de l’unité agricole (ha)*])),"!","-"))</f>
        <v>!</v>
      </c>
      <c r="J264" s="178" t="str">
        <f>IFERROR(CONCATENATE(VLOOKUP(A264,GM_Table,12,FALSE)," ",(VLOOKUP(A264,GM_Table,13,FALSE))),"")</f>
        <v/>
      </c>
    </row>
    <row r="265" spans="1:10">
      <c r="A265" s="189" t="s">
        <v>1680</v>
      </c>
      <c r="B265" s="190" t="s">
        <v>1680</v>
      </c>
      <c r="C265" s="191">
        <v>2.9660000000000002</v>
      </c>
      <c r="D265" s="200" t="s">
        <v>2380</v>
      </c>
      <c r="E265" s="200" t="s">
        <v>2381</v>
      </c>
      <c r="F265" s="177" t="b">
        <f>IF(ISBLANK(FarmUnit[[#This Row],[1. Identifiant interne d’exploitation agricole*]]),"",IF(ISERROR(MATCH(FarmUnit[[#This Row],[1. Identifiant interne d’exploitation agricole*]],GroupMember[1. Identifiant interne d’exploitation agricole*],0)),FALSE,TRUE))</f>
        <v>1</v>
      </c>
      <c r="G265" s="192" t="str">
        <f t="shared" si="11"/>
        <v>7.19972</v>
      </c>
      <c r="H265" s="192" t="str">
        <f t="shared" si="12"/>
        <v>-7.65457</v>
      </c>
      <c r="I265" s="193" t="str">
        <f t="array" ref="I265">IF(ISBLANK(C265),"",IF(C265=MAX(IF([1. Identifiant interne d’exploitation agricole*]=A265,[3. Superficie de l’unité agricole (ha)*])),"!","-"))</f>
        <v>!</v>
      </c>
      <c r="J265" s="178" t="str">
        <f>IFERROR(CONCATENATE(VLOOKUP(A265,GM_Table,12,FALSE)," ",(VLOOKUP(A265,GM_Table,13,FALSE))),"")</f>
        <v/>
      </c>
    </row>
    <row r="266" spans="1:10">
      <c r="A266" s="189" t="s">
        <v>1684</v>
      </c>
      <c r="B266" s="190" t="s">
        <v>1684</v>
      </c>
      <c r="C266" s="191">
        <v>0.36070000000000002</v>
      </c>
      <c r="D266" s="200" t="s">
        <v>2382</v>
      </c>
      <c r="E266" s="200" t="s">
        <v>2383</v>
      </c>
      <c r="F266" s="177" t="b">
        <f>IF(ISBLANK(FarmUnit[[#This Row],[1. Identifiant interne d’exploitation agricole*]]),"",IF(ISERROR(MATCH(FarmUnit[[#This Row],[1. Identifiant interne d’exploitation agricole*]],GroupMember[1. Identifiant interne d’exploitation agricole*],0)),FALSE,TRUE))</f>
        <v>1</v>
      </c>
      <c r="G266" s="192" t="str">
        <f t="shared" si="11"/>
        <v>7.19755</v>
      </c>
      <c r="H266" s="192" t="str">
        <f t="shared" si="12"/>
        <v>-7.65732</v>
      </c>
      <c r="I266" s="193" t="str">
        <f t="array" ref="I266">IF(ISBLANK(C266),"",IF(C266=MAX(IF([1. Identifiant interne d’exploitation agricole*]=A266,[3. Superficie de l’unité agricole (ha)*])),"!","-"))</f>
        <v>!</v>
      </c>
      <c r="J266" s="178" t="str">
        <f>IFERROR(CONCATENATE(VLOOKUP(A266,GM_Table,12,FALSE)," ",(VLOOKUP(A266,GM_Table,13,FALSE))),"")</f>
        <v/>
      </c>
    </row>
    <row r="267" spans="1:10">
      <c r="A267" s="189" t="s">
        <v>1687</v>
      </c>
      <c r="B267" s="190" t="s">
        <v>1687</v>
      </c>
      <c r="C267" s="191">
        <v>1.5523</v>
      </c>
      <c r="D267" s="200" t="s">
        <v>2384</v>
      </c>
      <c r="E267" s="200" t="s">
        <v>2385</v>
      </c>
      <c r="F267" s="177" t="b">
        <f>IF(ISBLANK(FarmUnit[[#This Row],[1. Identifiant interne d’exploitation agricole*]]),"",IF(ISERROR(MATCH(FarmUnit[[#This Row],[1. Identifiant interne d’exploitation agricole*]],GroupMember[1. Identifiant interne d’exploitation agricole*],0)),FALSE,TRUE))</f>
        <v>1</v>
      </c>
      <c r="G267" s="192" t="str">
        <f t="shared" si="11"/>
        <v>7.19928</v>
      </c>
      <c r="H267" s="192" t="str">
        <f t="shared" si="12"/>
        <v>-7.65843</v>
      </c>
      <c r="I267" s="193" t="str">
        <f t="array" ref="I267">IF(ISBLANK(C267),"",IF(C267=MAX(IF([1. Identifiant interne d’exploitation agricole*]=A267,[3. Superficie de l’unité agricole (ha)*])),"!","-"))</f>
        <v>!</v>
      </c>
      <c r="J267" s="178" t="str">
        <f>IFERROR(CONCATENATE(VLOOKUP(A267,GM_Table,12,FALSE)," ",(VLOOKUP(A267,GM_Table,13,FALSE))),"")</f>
        <v/>
      </c>
    </row>
    <row r="268" spans="1:10">
      <c r="A268" s="189" t="s">
        <v>1689</v>
      </c>
      <c r="B268" s="190" t="s">
        <v>1689</v>
      </c>
      <c r="C268" s="191">
        <v>1.264</v>
      </c>
      <c r="D268" s="200" t="s">
        <v>2386</v>
      </c>
      <c r="E268" s="200" t="s">
        <v>2387</v>
      </c>
      <c r="F268" s="177" t="b">
        <f>IF(ISBLANK(FarmUnit[[#This Row],[1. Identifiant interne d’exploitation agricole*]]),"",IF(ISERROR(MATCH(FarmUnit[[#This Row],[1. Identifiant interne d’exploitation agricole*]],GroupMember[1. Identifiant interne d’exploitation agricole*],0)),FALSE,TRUE))</f>
        <v>1</v>
      </c>
      <c r="G268" s="192" t="str">
        <f t="shared" si="11"/>
        <v>7.19772</v>
      </c>
      <c r="H268" s="192" t="str">
        <f t="shared" si="12"/>
        <v>-7.65267</v>
      </c>
      <c r="I268" s="193" t="str">
        <f t="array" ref="I268">IF(ISBLANK(C268),"",IF(C268=MAX(IF([1. Identifiant interne d’exploitation agricole*]=A268,[3. Superficie de l’unité agricole (ha)*])),"!","-"))</f>
        <v>!</v>
      </c>
      <c r="J268" s="178" t="str">
        <f>IFERROR(CONCATENATE(VLOOKUP(A268,GM_Table,12,FALSE)," ",(VLOOKUP(A268,GM_Table,13,FALSE))),"")</f>
        <v/>
      </c>
    </row>
    <row r="269" spans="1:10">
      <c r="A269" s="189" t="s">
        <v>1693</v>
      </c>
      <c r="B269" s="190" t="s">
        <v>1693</v>
      </c>
      <c r="C269" s="191">
        <v>2.2031000000000001</v>
      </c>
      <c r="D269" s="200" t="s">
        <v>2388</v>
      </c>
      <c r="E269" s="200" t="s">
        <v>2389</v>
      </c>
      <c r="F269" s="177" t="b">
        <f>IF(ISBLANK(FarmUnit[[#This Row],[1. Identifiant interne d’exploitation agricole*]]),"",IF(ISERROR(MATCH(FarmUnit[[#This Row],[1. Identifiant interne d’exploitation agricole*]],GroupMember[1. Identifiant interne d’exploitation agricole*],0)),FALSE,TRUE))</f>
        <v>1</v>
      </c>
      <c r="G269" s="192" t="str">
        <f t="shared" si="11"/>
        <v>7.19543</v>
      </c>
      <c r="H269" s="192" t="str">
        <f t="shared" si="12"/>
        <v>-7.65572</v>
      </c>
      <c r="I269" s="193" t="str">
        <f t="array" ref="I269">IF(ISBLANK(C269),"",IF(C269=MAX(IF([1. Identifiant interne d’exploitation agricole*]=A269,[3. Superficie de l’unité agricole (ha)*])),"!","-"))</f>
        <v>!</v>
      </c>
      <c r="J269" s="178" t="str">
        <f>IFERROR(CONCATENATE(VLOOKUP(A269,GM_Table,12,FALSE)," ",(VLOOKUP(A269,GM_Table,13,FALSE))),"")</f>
        <v/>
      </c>
    </row>
    <row r="270" spans="1:10">
      <c r="A270" s="189" t="s">
        <v>1696</v>
      </c>
      <c r="B270" s="190" t="s">
        <v>1696</v>
      </c>
      <c r="C270" s="191">
        <v>1.4735</v>
      </c>
      <c r="D270" s="200" t="s">
        <v>2390</v>
      </c>
      <c r="E270" s="200" t="s">
        <v>2391</v>
      </c>
      <c r="F270" s="177" t="b">
        <f>IF(ISBLANK(FarmUnit[[#This Row],[1. Identifiant interne d’exploitation agricole*]]),"",IF(ISERROR(MATCH(FarmUnit[[#This Row],[1. Identifiant interne d’exploitation agricole*]],GroupMember[1. Identifiant interne d’exploitation agricole*],0)),FALSE,TRUE))</f>
        <v>1</v>
      </c>
      <c r="G270" s="192" t="str">
        <f t="shared" si="11"/>
        <v>7.19802</v>
      </c>
      <c r="H270" s="192" t="str">
        <f t="shared" si="12"/>
        <v>-7.65546</v>
      </c>
      <c r="I270" s="193" t="str">
        <f t="array" ref="I270">IF(ISBLANK(C270),"",IF(C270=MAX(IF([1. Identifiant interne d’exploitation agricole*]=A270,[3. Superficie de l’unité agricole (ha)*])),"!","-"))</f>
        <v>!</v>
      </c>
      <c r="J270" s="178" t="str">
        <f>IFERROR(CONCATENATE(VLOOKUP(A270,GM_Table,12,FALSE)," ",(VLOOKUP(A270,GM_Table,13,FALSE))),"")</f>
        <v/>
      </c>
    </row>
    <row r="271" spans="1:10">
      <c r="A271" s="189" t="s">
        <v>1700</v>
      </c>
      <c r="B271" s="190" t="s">
        <v>1700</v>
      </c>
      <c r="C271" s="191">
        <v>5.8883999999999999</v>
      </c>
      <c r="D271" s="200" t="s">
        <v>2392</v>
      </c>
      <c r="E271" s="200" t="s">
        <v>2393</v>
      </c>
      <c r="F271" s="177" t="b">
        <f>IF(ISBLANK(FarmUnit[[#This Row],[1. Identifiant interne d’exploitation agricole*]]),"",IF(ISERROR(MATCH(FarmUnit[[#This Row],[1. Identifiant interne d’exploitation agricole*]],GroupMember[1. Identifiant interne d’exploitation agricole*],0)),FALSE,TRUE))</f>
        <v>1</v>
      </c>
      <c r="G271" s="192" t="str">
        <f t="shared" si="11"/>
        <v>7.19978</v>
      </c>
      <c r="H271" s="192" t="str">
        <f t="shared" si="12"/>
        <v>-7.64963</v>
      </c>
      <c r="I271" s="193" t="str">
        <f t="array" ref="I271">IF(ISBLANK(C271),"",IF(C271=MAX(IF([1. Identifiant interne d’exploitation agricole*]=A271,[3. Superficie de l’unité agricole (ha)*])),"!","-"))</f>
        <v>!</v>
      </c>
      <c r="J271" s="178" t="str">
        <f>IFERROR(CONCATENATE(VLOOKUP(A271,GM_Table,12,FALSE)," ",(VLOOKUP(A271,GM_Table,13,FALSE))),"")</f>
        <v/>
      </c>
    </row>
    <row r="272" spans="1:10">
      <c r="A272" s="189" t="s">
        <v>1703</v>
      </c>
      <c r="B272" s="190" t="s">
        <v>1703</v>
      </c>
      <c r="C272" s="191">
        <v>1.1223000000000001</v>
      </c>
      <c r="D272" s="200" t="s">
        <v>2394</v>
      </c>
      <c r="E272" s="200" t="s">
        <v>2395</v>
      </c>
      <c r="F272" s="177" t="b">
        <f>IF(ISBLANK(FarmUnit[[#This Row],[1. Identifiant interne d’exploitation agricole*]]),"",IF(ISERROR(MATCH(FarmUnit[[#This Row],[1. Identifiant interne d’exploitation agricole*]],GroupMember[1. Identifiant interne d’exploitation agricole*],0)),FALSE,TRUE))</f>
        <v>1</v>
      </c>
      <c r="G272" s="192" t="str">
        <f t="shared" si="11"/>
        <v>7.20201</v>
      </c>
      <c r="H272" s="192" t="str">
        <f t="shared" si="12"/>
        <v>-7.65062</v>
      </c>
      <c r="I272" s="193" t="str">
        <f t="array" ref="I272">IF(ISBLANK(C272),"",IF(C272=MAX(IF([1. Identifiant interne d’exploitation agricole*]=A272,[3. Superficie de l’unité agricole (ha)*])),"!","-"))</f>
        <v>!</v>
      </c>
      <c r="J272" s="178" t="str">
        <f>IFERROR(CONCATENATE(VLOOKUP(A272,GM_Table,12,FALSE)," ",(VLOOKUP(A272,GM_Table,13,FALSE))),"")</f>
        <v/>
      </c>
    </row>
    <row r="273" spans="1:10">
      <c r="A273" s="189" t="s">
        <v>1707</v>
      </c>
      <c r="B273" s="190" t="s">
        <v>1707</v>
      </c>
      <c r="C273" s="191">
        <v>1.1266</v>
      </c>
      <c r="D273" s="200" t="s">
        <v>2396</v>
      </c>
      <c r="E273" s="200" t="s">
        <v>2397</v>
      </c>
      <c r="F273" s="177" t="b">
        <f>IF(ISBLANK(FarmUnit[[#This Row],[1. Identifiant interne d’exploitation agricole*]]),"",IF(ISERROR(MATCH(FarmUnit[[#This Row],[1. Identifiant interne d’exploitation agricole*]],GroupMember[1. Identifiant interne d’exploitation agricole*],0)),FALSE,TRUE))</f>
        <v>1</v>
      </c>
      <c r="G273" s="192" t="str">
        <f t="shared" si="11"/>
        <v>7.20024</v>
      </c>
      <c r="H273" s="192" t="str">
        <f t="shared" si="12"/>
        <v>-7.65203</v>
      </c>
      <c r="I273" s="193" t="str">
        <f t="array" ref="I273">IF(ISBLANK(C273),"",IF(C273=MAX(IF([1. Identifiant interne d’exploitation agricole*]=A273,[3. Superficie de l’unité agricole (ha)*])),"!","-"))</f>
        <v>!</v>
      </c>
      <c r="J273" s="178" t="str">
        <f>IFERROR(CONCATENATE(VLOOKUP(A273,GM_Table,12,FALSE)," ",(VLOOKUP(A273,GM_Table,13,FALSE))),"")</f>
        <v/>
      </c>
    </row>
    <row r="274" spans="1:10">
      <c r="A274" s="189" t="s">
        <v>1712</v>
      </c>
      <c r="B274" s="190" t="s">
        <v>1712</v>
      </c>
      <c r="C274" s="191">
        <v>0.81799999999999995</v>
      </c>
      <c r="D274" s="200" t="s">
        <v>2398</v>
      </c>
      <c r="E274" s="200" t="s">
        <v>2399</v>
      </c>
      <c r="F274" s="177" t="b">
        <f>IF(ISBLANK(FarmUnit[[#This Row],[1. Identifiant interne d’exploitation agricole*]]),"",IF(ISERROR(MATCH(FarmUnit[[#This Row],[1. Identifiant interne d’exploitation agricole*]],GroupMember[1. Identifiant interne d’exploitation agricole*],0)),FALSE,TRUE))</f>
        <v>1</v>
      </c>
      <c r="G274" s="192" t="str">
        <f t="shared" si="11"/>
        <v>7.19742</v>
      </c>
      <c r="H274" s="192" t="str">
        <f t="shared" si="12"/>
        <v>-7.64884</v>
      </c>
      <c r="I274" s="193" t="str">
        <f t="array" ref="I274">IF(ISBLANK(C274),"",IF(C274=MAX(IF([1. Identifiant interne d’exploitation agricole*]=A274,[3. Superficie de l’unité agricole (ha)*])),"!","-"))</f>
        <v>!</v>
      </c>
      <c r="J274" s="178" t="str">
        <f>IFERROR(CONCATENATE(VLOOKUP(A274,GM_Table,12,FALSE)," ",(VLOOKUP(A274,GM_Table,13,FALSE))),"")</f>
        <v/>
      </c>
    </row>
    <row r="275" spans="1:10">
      <c r="A275" s="189" t="s">
        <v>1717</v>
      </c>
      <c r="B275" s="189" t="s">
        <v>1717</v>
      </c>
      <c r="C275" s="191">
        <v>1.0286</v>
      </c>
      <c r="D275" s="200" t="s">
        <v>2400</v>
      </c>
      <c r="E275" s="200" t="s">
        <v>2401</v>
      </c>
      <c r="F275" s="177" t="b">
        <f>IF(ISBLANK(FarmUnit[[#This Row],[1. Identifiant interne d’exploitation agricole*]]),"",IF(ISERROR(MATCH(FarmUnit[[#This Row],[1. Identifiant interne d’exploitation agricole*]],GroupMember[1. Identifiant interne d’exploitation agricole*],0)),FALSE,TRUE))</f>
        <v>1</v>
      </c>
      <c r="G275" s="192" t="str">
        <f t="shared" si="11"/>
        <v>7.19981</v>
      </c>
      <c r="H275" s="192" t="str">
        <f t="shared" si="12"/>
        <v>-7.64619</v>
      </c>
      <c r="I275" s="193" t="str">
        <f t="array" ref="I275">IF(ISBLANK(C275),"",IF(C275=MAX(IF([1. Identifiant interne d’exploitation agricole*]=A275,[3. Superficie de l’unité agricole (ha)*])),"!","-"))</f>
        <v>!</v>
      </c>
      <c r="J275" s="178" t="str">
        <f>IFERROR(CONCATENATE(VLOOKUP(A275,GM_Table,12,FALSE)," ",(VLOOKUP(A275,GM_Table,13,FALSE))),"")</f>
        <v/>
      </c>
    </row>
    <row r="276" spans="1:10">
      <c r="A276" s="189" t="s">
        <v>1721</v>
      </c>
      <c r="B276" s="190" t="s">
        <v>1721</v>
      </c>
      <c r="C276" s="191">
        <v>1.9721</v>
      </c>
      <c r="D276" s="200" t="s">
        <v>2402</v>
      </c>
      <c r="E276" s="200" t="s">
        <v>2403</v>
      </c>
      <c r="F276" s="177" t="b">
        <f>IF(ISBLANK(FarmUnit[[#This Row],[1. Identifiant interne d’exploitation agricole*]]),"",IF(ISERROR(MATCH(FarmUnit[[#This Row],[1. Identifiant interne d’exploitation agricole*]],GroupMember[1. Identifiant interne d’exploitation agricole*],0)),FALSE,TRUE))</f>
        <v>1</v>
      </c>
      <c r="G276" s="192" t="str">
        <f t="shared" si="11"/>
        <v>7.19989</v>
      </c>
      <c r="H276" s="192" t="str">
        <f t="shared" si="12"/>
        <v>-7.6426</v>
      </c>
      <c r="I276" s="193" t="str">
        <f t="array" ref="I276">IF(ISBLANK(C276),"",IF(C276=MAX(IF([1. Identifiant interne d’exploitation agricole*]=A276,[3. Superficie de l’unité agricole (ha)*])),"!","-"))</f>
        <v>!</v>
      </c>
      <c r="J276" s="178" t="str">
        <f>IFERROR(CONCATENATE(VLOOKUP(A276,GM_Table,12,FALSE)," ",(VLOOKUP(A276,GM_Table,13,FALSE))),"")</f>
        <v/>
      </c>
    </row>
    <row r="277" spans="1:10">
      <c r="A277" s="189" t="s">
        <v>1726</v>
      </c>
      <c r="B277" s="190" t="s">
        <v>1726</v>
      </c>
      <c r="C277" s="191">
        <v>2.0977999999999999</v>
      </c>
      <c r="D277" s="200" t="s">
        <v>2404</v>
      </c>
      <c r="E277" s="200" t="s">
        <v>2405</v>
      </c>
      <c r="F277" s="177" t="b">
        <f>IF(ISBLANK(FarmUnit[[#This Row],[1. Identifiant interne d’exploitation agricole*]]),"",IF(ISERROR(MATCH(FarmUnit[[#This Row],[1. Identifiant interne d’exploitation agricole*]],GroupMember[1. Identifiant interne d’exploitation agricole*],0)),FALSE,TRUE))</f>
        <v>1</v>
      </c>
      <c r="G277" s="192" t="str">
        <f t="shared" si="11"/>
        <v>7.20094</v>
      </c>
      <c r="H277" s="192" t="str">
        <f t="shared" si="12"/>
        <v>-7.63882</v>
      </c>
      <c r="I277" s="193" t="str">
        <f t="array" ref="I277">IF(ISBLANK(C277),"",IF(C277=MAX(IF([1. Identifiant interne d’exploitation agricole*]=A277,[3. Superficie de l’unité agricole (ha)*])),"!","-"))</f>
        <v>!</v>
      </c>
      <c r="J277" s="178" t="str">
        <f>IFERROR(CONCATENATE(VLOOKUP(A277,GM_Table,12,FALSE)," ",(VLOOKUP(A277,GM_Table,13,FALSE))),"")</f>
        <v/>
      </c>
    </row>
    <row r="278" spans="1:10">
      <c r="A278" s="189" t="s">
        <v>1730</v>
      </c>
      <c r="B278" s="190" t="s">
        <v>1730</v>
      </c>
      <c r="C278" s="191">
        <v>0.96599999999999997</v>
      </c>
      <c r="D278" s="200" t="s">
        <v>2406</v>
      </c>
      <c r="E278" s="200" t="s">
        <v>2407</v>
      </c>
      <c r="F278" s="177" t="b">
        <f>IF(ISBLANK(FarmUnit[[#This Row],[1. Identifiant interne d’exploitation agricole*]]),"",IF(ISERROR(MATCH(FarmUnit[[#This Row],[1. Identifiant interne d’exploitation agricole*]],GroupMember[1. Identifiant interne d’exploitation agricole*],0)),FALSE,TRUE))</f>
        <v>1</v>
      </c>
      <c r="G278" s="192" t="str">
        <f t="shared" si="11"/>
        <v>7.19836</v>
      </c>
      <c r="H278" s="192" t="str">
        <f t="shared" si="12"/>
        <v>-7.63922</v>
      </c>
      <c r="I278" s="193" t="str">
        <f t="array" ref="I278">IF(ISBLANK(C278),"",IF(C278=MAX(IF([1. Identifiant interne d’exploitation agricole*]=A278,[3. Superficie de l’unité agricole (ha)*])),"!","-"))</f>
        <v>!</v>
      </c>
      <c r="J278" s="178" t="str">
        <f>IFERROR(CONCATENATE(VLOOKUP(A278,GM_Table,12,FALSE)," ",(VLOOKUP(A278,GM_Table,13,FALSE))),"")</f>
        <v/>
      </c>
    </row>
    <row r="279" spans="1:10">
      <c r="A279" s="189" t="s">
        <v>1734</v>
      </c>
      <c r="B279" s="190" t="s">
        <v>1734</v>
      </c>
      <c r="C279" s="191">
        <v>1.9204000000000001</v>
      </c>
      <c r="D279" s="200" t="s">
        <v>2408</v>
      </c>
      <c r="E279" s="200" t="s">
        <v>2409</v>
      </c>
      <c r="F279" s="177" t="b">
        <f>IF(ISBLANK(FarmUnit[[#This Row],[1. Identifiant interne d’exploitation agricole*]]),"",IF(ISERROR(MATCH(FarmUnit[[#This Row],[1. Identifiant interne d’exploitation agricole*]],GroupMember[1. Identifiant interne d’exploitation agricole*],0)),FALSE,TRUE))</f>
        <v>1</v>
      </c>
      <c r="G279" s="192" t="str">
        <f t="shared" si="11"/>
        <v>7.20359</v>
      </c>
      <c r="H279" s="192" t="str">
        <f t="shared" si="12"/>
        <v>-7.64198</v>
      </c>
      <c r="I279" s="193" t="str">
        <f t="array" ref="I279">IF(ISBLANK(C279),"",IF(C279=MAX(IF([1. Identifiant interne d’exploitation agricole*]=A279,[3. Superficie de l’unité agricole (ha)*])),"!","-"))</f>
        <v>!</v>
      </c>
      <c r="J279" s="178" t="str">
        <f>IFERROR(CONCATENATE(VLOOKUP(A279,GM_Table,12,FALSE)," ",(VLOOKUP(A279,GM_Table,13,FALSE))),"")</f>
        <v/>
      </c>
    </row>
    <row r="280" spans="1:10">
      <c r="A280" s="189" t="s">
        <v>1739</v>
      </c>
      <c r="B280" s="190" t="s">
        <v>1739</v>
      </c>
      <c r="C280" s="191">
        <v>1.0807</v>
      </c>
      <c r="D280" s="200" t="s">
        <v>2410</v>
      </c>
      <c r="E280" s="200" t="s">
        <v>2411</v>
      </c>
      <c r="F280" s="177" t="b">
        <f>IF(ISBLANK(FarmUnit[[#This Row],[1. Identifiant interne d’exploitation agricole*]]),"",IF(ISERROR(MATCH(FarmUnit[[#This Row],[1. Identifiant interne d’exploitation agricole*]],GroupMember[1. Identifiant interne d’exploitation agricole*],0)),FALSE,TRUE))</f>
        <v>1</v>
      </c>
      <c r="G280" s="192" t="str">
        <f t="shared" si="11"/>
        <v>7.20481</v>
      </c>
      <c r="H280" s="192" t="str">
        <f t="shared" si="12"/>
        <v>-7.64432</v>
      </c>
      <c r="I280" s="193" t="str">
        <f t="array" ref="I280">IF(ISBLANK(C280),"",IF(C280=MAX(IF([1. Identifiant interne d’exploitation agricole*]=A280,[3. Superficie de l’unité agricole (ha)*])),"!","-"))</f>
        <v>!</v>
      </c>
      <c r="J280" s="178" t="str">
        <f>IFERROR(CONCATENATE(VLOOKUP(A280,GM_Table,12,FALSE)," ",(VLOOKUP(A280,GM_Table,13,FALSE))),"")</f>
        <v/>
      </c>
    </row>
    <row r="281" spans="1:10">
      <c r="A281" s="189" t="s">
        <v>1742</v>
      </c>
      <c r="B281" s="190" t="s">
        <v>1742</v>
      </c>
      <c r="C281" s="191">
        <v>0.84799999999999998</v>
      </c>
      <c r="D281" s="200" t="s">
        <v>2412</v>
      </c>
      <c r="E281" s="200" t="s">
        <v>2413</v>
      </c>
      <c r="F281" s="177" t="b">
        <f>IF(ISBLANK(FarmUnit[[#This Row],[1. Identifiant interne d’exploitation agricole*]]),"",IF(ISERROR(MATCH(FarmUnit[[#This Row],[1. Identifiant interne d’exploitation agricole*]],GroupMember[1. Identifiant interne d’exploitation agricole*],0)),FALSE,TRUE))</f>
        <v>1</v>
      </c>
      <c r="G281" s="192" t="str">
        <f t="shared" si="11"/>
        <v>7.20487</v>
      </c>
      <c r="H281" s="192" t="str">
        <f t="shared" si="12"/>
        <v>-7.64697</v>
      </c>
      <c r="I281" s="193" t="str">
        <f t="array" ref="I281">IF(ISBLANK(C281),"",IF(C281=MAX(IF([1. Identifiant interne d’exploitation agricole*]=A281,[3. Superficie de l’unité agricole (ha)*])),"!","-"))</f>
        <v>!</v>
      </c>
      <c r="J281" s="178" t="str">
        <f>IFERROR(CONCATENATE(VLOOKUP(A281,GM_Table,12,FALSE)," ",(VLOOKUP(A281,GM_Table,13,FALSE))),"")</f>
        <v/>
      </c>
    </row>
    <row r="282" spans="1:10">
      <c r="A282" s="189" t="s">
        <v>1746</v>
      </c>
      <c r="B282" s="190" t="s">
        <v>1746</v>
      </c>
      <c r="C282" s="191">
        <v>0.93389999999999995</v>
      </c>
      <c r="D282" s="200" t="s">
        <v>2414</v>
      </c>
      <c r="E282" s="200" t="s">
        <v>2415</v>
      </c>
      <c r="F282" s="177" t="b">
        <f>IF(ISBLANK(FarmUnit[[#This Row],[1. Identifiant interne d’exploitation agricole*]]),"",IF(ISERROR(MATCH(FarmUnit[[#This Row],[1. Identifiant interne d’exploitation agricole*]],GroupMember[1. Identifiant interne d’exploitation agricole*],0)),FALSE,TRUE))</f>
        <v>1</v>
      </c>
      <c r="G282" s="192" t="str">
        <f t="shared" si="11"/>
        <v>7.20541</v>
      </c>
      <c r="H282" s="192" t="str">
        <f t="shared" si="12"/>
        <v>-7.64944</v>
      </c>
      <c r="I282" s="193" t="str">
        <f t="array" ref="I282">IF(ISBLANK(C282),"",IF(C282=MAX(IF([1. Identifiant interne d’exploitation agricole*]=A282,[3. Superficie de l’unité agricole (ha)*])),"!","-"))</f>
        <v>!</v>
      </c>
      <c r="J282" s="178" t="str">
        <f>IFERROR(CONCATENATE(VLOOKUP(A282,GM_Table,12,FALSE)," ",(VLOOKUP(A282,GM_Table,13,FALSE))),"")</f>
        <v/>
      </c>
    </row>
    <row r="283" spans="1:10">
      <c r="A283" s="189" t="s">
        <v>1747</v>
      </c>
      <c r="B283" s="190" t="s">
        <v>1747</v>
      </c>
      <c r="C283" s="191">
        <v>1.6658999999999999</v>
      </c>
      <c r="D283" s="200" t="s">
        <v>2416</v>
      </c>
      <c r="E283" s="200" t="s">
        <v>2417</v>
      </c>
      <c r="F283" s="177" t="b">
        <f>IF(ISBLANK(FarmUnit[[#This Row],[1. Identifiant interne d’exploitation agricole*]]),"",IF(ISERROR(MATCH(FarmUnit[[#This Row],[1. Identifiant interne d’exploitation agricole*]],GroupMember[1. Identifiant interne d’exploitation agricole*],0)),FALSE,TRUE))</f>
        <v>1</v>
      </c>
      <c r="G283" s="192" t="str">
        <f t="shared" ref="G283:G307" si="13">IF(D283=0,"",D283)</f>
        <v>7.2046</v>
      </c>
      <c r="H283" s="192" t="str">
        <f t="shared" ref="H283:H307" si="14">IF(E283=0,"",E283)</f>
        <v>-7.65284</v>
      </c>
      <c r="I283" s="193" t="str">
        <f t="array" ref="I283">IF(ISBLANK(C283),"",IF(C283=MAX(IF([1. Identifiant interne d’exploitation agricole*]=A283,[3. Superficie de l’unité agricole (ha)*])),"!","-"))</f>
        <v>!</v>
      </c>
      <c r="J283" s="178" t="str">
        <f>IFERROR(CONCATENATE(VLOOKUP(A283,GM_Table,12,FALSE)," ",(VLOOKUP(A283,GM_Table,13,FALSE))),"")</f>
        <v/>
      </c>
    </row>
    <row r="284" spans="1:10">
      <c r="A284" s="189" t="s">
        <v>1750</v>
      </c>
      <c r="B284" s="190" t="s">
        <v>1750</v>
      </c>
      <c r="C284" s="191">
        <v>1.2874000000000001</v>
      </c>
      <c r="D284" s="200" t="s">
        <v>2418</v>
      </c>
      <c r="E284" s="200" t="s">
        <v>2419</v>
      </c>
      <c r="F284" s="177" t="b">
        <f>IF(ISBLANK(FarmUnit[[#This Row],[1. Identifiant interne d’exploitation agricole*]]),"",IF(ISERROR(MATCH(FarmUnit[[#This Row],[1. Identifiant interne d’exploitation agricole*]],GroupMember[1. Identifiant interne d’exploitation agricole*],0)),FALSE,TRUE))</f>
        <v>1</v>
      </c>
      <c r="G284" s="192" t="str">
        <f t="shared" si="13"/>
        <v>7.20806</v>
      </c>
      <c r="H284" s="192" t="str">
        <f t="shared" si="14"/>
        <v>-7.65211</v>
      </c>
      <c r="I284" s="193" t="str">
        <f t="array" ref="I284">IF(ISBLANK(C284),"",IF(C284=MAX(IF([1. Identifiant interne d’exploitation agricole*]=A284,[3. Superficie de l’unité agricole (ha)*])),"!","-"))</f>
        <v>!</v>
      </c>
      <c r="J284" s="178" t="str">
        <f>IFERROR(CONCATENATE(VLOOKUP(A284,GM_Table,12,FALSE)," ",(VLOOKUP(A284,GM_Table,13,FALSE))),"")</f>
        <v/>
      </c>
    </row>
    <row r="285" spans="1:10">
      <c r="A285" s="189" t="s">
        <v>1753</v>
      </c>
      <c r="B285" s="190" t="s">
        <v>1753</v>
      </c>
      <c r="C285" s="191">
        <v>1.0544</v>
      </c>
      <c r="D285" s="200" t="s">
        <v>2420</v>
      </c>
      <c r="E285" s="200" t="s">
        <v>2421</v>
      </c>
      <c r="F285" s="177" t="b">
        <f>IF(ISBLANK(FarmUnit[[#This Row],[1. Identifiant interne d’exploitation agricole*]]),"",IF(ISERROR(MATCH(FarmUnit[[#This Row],[1. Identifiant interne d’exploitation agricole*]],GroupMember[1. Identifiant interne d’exploitation agricole*],0)),FALSE,TRUE))</f>
        <v>1</v>
      </c>
      <c r="G285" s="192" t="str">
        <f t="shared" si="13"/>
        <v>7.0757</v>
      </c>
      <c r="H285" s="192" t="str">
        <f t="shared" si="14"/>
        <v>-7.68159</v>
      </c>
      <c r="I285" s="193" t="str">
        <f t="array" ref="I285">IF(ISBLANK(C285),"",IF(C285=MAX(IF([1. Identifiant interne d’exploitation agricole*]=A285,[3. Superficie de l’unité agricole (ha)*])),"!","-"))</f>
        <v>!</v>
      </c>
      <c r="J285" s="178" t="str">
        <f>IFERROR(CONCATENATE(VLOOKUP(A285,GM_Table,12,FALSE)," ",(VLOOKUP(A285,GM_Table,13,FALSE))),"")</f>
        <v/>
      </c>
    </row>
    <row r="286" spans="1:10">
      <c r="A286" s="189" t="s">
        <v>1756</v>
      </c>
      <c r="B286" s="190" t="s">
        <v>1756</v>
      </c>
      <c r="C286" s="191">
        <v>0.94589999999999996</v>
      </c>
      <c r="D286" s="200" t="s">
        <v>2422</v>
      </c>
      <c r="E286" s="200" t="s">
        <v>2423</v>
      </c>
      <c r="F286" s="177" t="b">
        <f>IF(ISBLANK(FarmUnit[[#This Row],[1. Identifiant interne d’exploitation agricole*]]),"",IF(ISERROR(MATCH(FarmUnit[[#This Row],[1. Identifiant interne d’exploitation agricole*]],GroupMember[1. Identifiant interne d’exploitation agricole*],0)),FALSE,TRUE))</f>
        <v>1</v>
      </c>
      <c r="G286" s="192" t="str">
        <f t="shared" si="13"/>
        <v>7.058319</v>
      </c>
      <c r="H286" s="192" t="str">
        <f t="shared" si="14"/>
        <v>-7.762947</v>
      </c>
      <c r="I286" s="193" t="str">
        <f t="array" ref="I286">IF(ISBLANK(C286),"",IF(C286=MAX(IF([1. Identifiant interne d’exploitation agricole*]=A286,[3. Superficie de l’unité agricole (ha)*])),"!","-"))</f>
        <v>!</v>
      </c>
      <c r="J286" s="178" t="str">
        <f>IFERROR(CONCATENATE(VLOOKUP(A286,GM_Table,12,FALSE)," ",(VLOOKUP(A286,GM_Table,13,FALSE))),"")</f>
        <v/>
      </c>
    </row>
    <row r="287" spans="1:10">
      <c r="A287" s="189" t="s">
        <v>1758</v>
      </c>
      <c r="B287" s="190" t="s">
        <v>1758</v>
      </c>
      <c r="C287" s="191">
        <v>3.1875</v>
      </c>
      <c r="D287" s="200" t="s">
        <v>2424</v>
      </c>
      <c r="E287" s="200" t="s">
        <v>2425</v>
      </c>
      <c r="F287" s="177" t="b">
        <f>IF(ISBLANK(FarmUnit[[#This Row],[1. Identifiant interne d’exploitation agricole*]]),"",IF(ISERROR(MATCH(FarmUnit[[#This Row],[1. Identifiant interne d’exploitation agricole*]],GroupMember[1. Identifiant interne d’exploitation agricole*],0)),FALSE,TRUE))</f>
        <v>1</v>
      </c>
      <c r="G287" s="192" t="str">
        <f t="shared" si="13"/>
        <v>7.047775</v>
      </c>
      <c r="H287" s="192" t="str">
        <f t="shared" si="14"/>
        <v>-7.783993</v>
      </c>
      <c r="I287" s="193" t="str">
        <f t="array" ref="I287">IF(ISBLANK(C287),"",IF(C287=MAX(IF([1. Identifiant interne d’exploitation agricole*]=A287,[3. Superficie de l’unité agricole (ha)*])),"!","-"))</f>
        <v>!</v>
      </c>
      <c r="J287" s="178" t="str">
        <f>IFERROR(CONCATENATE(VLOOKUP(A287,GM_Table,12,FALSE)," ",(VLOOKUP(A287,GM_Table,13,FALSE))),"")</f>
        <v/>
      </c>
    </row>
    <row r="288" spans="1:10">
      <c r="A288" s="189" t="s">
        <v>1761</v>
      </c>
      <c r="B288" s="190" t="s">
        <v>1761</v>
      </c>
      <c r="C288" s="191">
        <v>3.9392</v>
      </c>
      <c r="D288" s="200" t="s">
        <v>2426</v>
      </c>
      <c r="E288" s="200" t="s">
        <v>2427</v>
      </c>
      <c r="F288" s="177" t="b">
        <f>IF(ISBLANK(FarmUnit[[#This Row],[1. Identifiant interne d’exploitation agricole*]]),"",IF(ISERROR(MATCH(FarmUnit[[#This Row],[1. Identifiant interne d’exploitation agricole*]],GroupMember[1. Identifiant interne d’exploitation agricole*],0)),FALSE,TRUE))</f>
        <v>1</v>
      </c>
      <c r="G288" s="192" t="str">
        <f t="shared" si="13"/>
        <v>7.038895</v>
      </c>
      <c r="H288" s="192" t="str">
        <f t="shared" si="14"/>
        <v>-7.783521</v>
      </c>
      <c r="I288" s="193" t="str">
        <f t="array" ref="I288">IF(ISBLANK(C288),"",IF(C288=MAX(IF([1. Identifiant interne d’exploitation agricole*]=A288,[3. Superficie de l’unité agricole (ha)*])),"!","-"))</f>
        <v>!</v>
      </c>
      <c r="J288" s="178" t="str">
        <f>IFERROR(CONCATENATE(VLOOKUP(A288,GM_Table,12,FALSE)," ",(VLOOKUP(A288,GM_Table,13,FALSE))),"")</f>
        <v/>
      </c>
    </row>
    <row r="289" spans="1:10">
      <c r="A289" s="189" t="s">
        <v>1764</v>
      </c>
      <c r="B289" s="190" t="s">
        <v>1764</v>
      </c>
      <c r="C289" s="191">
        <v>0.63339999999999996</v>
      </c>
      <c r="D289" s="200" t="s">
        <v>2428</v>
      </c>
      <c r="E289" s="200" t="s">
        <v>2429</v>
      </c>
      <c r="F289" s="177" t="b">
        <f>IF(ISBLANK(FarmUnit[[#This Row],[1. Identifiant interne d’exploitation agricole*]]),"",IF(ISERROR(MATCH(FarmUnit[[#This Row],[1. Identifiant interne d’exploitation agricole*]],GroupMember[1. Identifiant interne d’exploitation agricole*],0)),FALSE,TRUE))</f>
        <v>1</v>
      </c>
      <c r="G289" s="192" t="str">
        <f t="shared" si="13"/>
        <v>7.12807</v>
      </c>
      <c r="H289" s="192" t="str">
        <f t="shared" si="14"/>
        <v>-7.70503</v>
      </c>
      <c r="I289" s="193" t="str">
        <f t="array" ref="I289">IF(ISBLANK(C289),"",IF(C289=MAX(IF([1. Identifiant interne d’exploitation agricole*]=A289,[3. Superficie de l’unité agricole (ha)*])),"!","-"))</f>
        <v>!</v>
      </c>
      <c r="J289" s="178" t="str">
        <f>IFERROR(CONCATENATE(VLOOKUP(A289,GM_Table,12,FALSE)," ",(VLOOKUP(A289,GM_Table,13,FALSE))),"")</f>
        <v/>
      </c>
    </row>
    <row r="290" spans="1:10">
      <c r="A290" s="189" t="s">
        <v>1768</v>
      </c>
      <c r="B290" s="190" t="s">
        <v>1768</v>
      </c>
      <c r="C290" s="191">
        <v>1.2423</v>
      </c>
      <c r="D290" s="200" t="s">
        <v>2430</v>
      </c>
      <c r="E290" s="200" t="s">
        <v>2431</v>
      </c>
      <c r="F290" s="177" t="b">
        <f>IF(ISBLANK(FarmUnit[[#This Row],[1. Identifiant interne d’exploitation agricole*]]),"",IF(ISERROR(MATCH(FarmUnit[[#This Row],[1. Identifiant interne d’exploitation agricole*]],GroupMember[1. Identifiant interne d’exploitation agricole*],0)),FALSE,TRUE))</f>
        <v>1</v>
      </c>
      <c r="G290" s="192" t="str">
        <f t="shared" si="13"/>
        <v>7.11901</v>
      </c>
      <c r="H290" s="192" t="str">
        <f t="shared" si="14"/>
        <v>-7.7048</v>
      </c>
      <c r="I290" s="193" t="str">
        <f t="array" ref="I290">IF(ISBLANK(C290),"",IF(C290=MAX(IF([1. Identifiant interne d’exploitation agricole*]=A290,[3. Superficie de l’unité agricole (ha)*])),"!","-"))</f>
        <v>!</v>
      </c>
      <c r="J290" s="178" t="str">
        <f>IFERROR(CONCATENATE(VLOOKUP(A290,GM_Table,12,FALSE)," ",(VLOOKUP(A290,GM_Table,13,FALSE))),"")</f>
        <v/>
      </c>
    </row>
    <row r="291" spans="1:10">
      <c r="A291" s="189" t="s">
        <v>1772</v>
      </c>
      <c r="B291" s="190" t="s">
        <v>1772</v>
      </c>
      <c r="C291" s="191">
        <v>2.0865999999999998</v>
      </c>
      <c r="D291" s="200" t="s">
        <v>2432</v>
      </c>
      <c r="E291" s="200" t="s">
        <v>2433</v>
      </c>
      <c r="F291" s="177" t="b">
        <f>IF(ISBLANK(FarmUnit[[#This Row],[1. Identifiant interne d’exploitation agricole*]]),"",IF(ISERROR(MATCH(FarmUnit[[#This Row],[1. Identifiant interne d’exploitation agricole*]],GroupMember[1. Identifiant interne d’exploitation agricole*],0)),FALSE,TRUE))</f>
        <v>1</v>
      </c>
      <c r="G291" s="192" t="str">
        <f t="shared" si="13"/>
        <v>7.11503</v>
      </c>
      <c r="H291" s="192" t="str">
        <f t="shared" si="14"/>
        <v>-7.70922</v>
      </c>
      <c r="I291" s="193" t="str">
        <f t="array" ref="I291">IF(ISBLANK(C291),"",IF(C291=MAX(IF([1. Identifiant interne d’exploitation agricole*]=A291,[3. Superficie de l’unité agricole (ha)*])),"!","-"))</f>
        <v>!</v>
      </c>
      <c r="J291" s="178" t="str">
        <f>IFERROR(CONCATENATE(VLOOKUP(A291,GM_Table,12,FALSE)," ",(VLOOKUP(A291,GM_Table,13,FALSE))),"")</f>
        <v/>
      </c>
    </row>
    <row r="292" spans="1:10">
      <c r="A292" s="189" t="s">
        <v>1776</v>
      </c>
      <c r="B292" s="190" t="s">
        <v>1776</v>
      </c>
      <c r="C292" s="191">
        <v>1.0863</v>
      </c>
      <c r="D292" s="200" t="s">
        <v>2434</v>
      </c>
      <c r="E292" s="200" t="s">
        <v>2435</v>
      </c>
      <c r="F292" s="177" t="b">
        <f>IF(ISBLANK(FarmUnit[[#This Row],[1. Identifiant interne d’exploitation agricole*]]),"",IF(ISERROR(MATCH(FarmUnit[[#This Row],[1. Identifiant interne d’exploitation agricole*]],GroupMember[1. Identifiant interne d’exploitation agricole*],0)),FALSE,TRUE))</f>
        <v>1</v>
      </c>
      <c r="G292" s="192" t="str">
        <f t="shared" si="13"/>
        <v>7.13582</v>
      </c>
      <c r="H292" s="192" t="str">
        <f t="shared" si="14"/>
        <v>-7.70718</v>
      </c>
      <c r="I292" s="193" t="str">
        <f t="array" ref="I292">IF(ISBLANK(C292),"",IF(C292=MAX(IF([1. Identifiant interne d’exploitation agricole*]=A292,[3. Superficie de l’unité agricole (ha)*])),"!","-"))</f>
        <v>!</v>
      </c>
      <c r="J292" s="178" t="str">
        <f>IFERROR(CONCATENATE(VLOOKUP(A292,GM_Table,12,FALSE)," ",(VLOOKUP(A292,GM_Table,13,FALSE))),"")</f>
        <v/>
      </c>
    </row>
    <row r="293" spans="1:10">
      <c r="A293" s="189" t="s">
        <v>1780</v>
      </c>
      <c r="B293" s="190" t="s">
        <v>1780</v>
      </c>
      <c r="C293" s="191">
        <v>1.8431999999999999</v>
      </c>
      <c r="D293" s="200" t="s">
        <v>2436</v>
      </c>
      <c r="E293" s="200" t="s">
        <v>2437</v>
      </c>
      <c r="F293" s="177" t="b">
        <f>IF(ISBLANK(FarmUnit[[#This Row],[1. Identifiant interne d’exploitation agricole*]]),"",IF(ISERROR(MATCH(FarmUnit[[#This Row],[1. Identifiant interne d’exploitation agricole*]],GroupMember[1. Identifiant interne d’exploitation agricole*],0)),FALSE,TRUE))</f>
        <v>1</v>
      </c>
      <c r="G293" s="192" t="str">
        <f t="shared" si="13"/>
        <v>7.13032</v>
      </c>
      <c r="H293" s="192" t="str">
        <f t="shared" si="14"/>
        <v>-7.70877</v>
      </c>
      <c r="I293" s="193" t="str">
        <f t="array" ref="I293">IF(ISBLANK(C293),"",IF(C293=MAX(IF([1. Identifiant interne d’exploitation agricole*]=A293,[3. Superficie de l’unité agricole (ha)*])),"!","-"))</f>
        <v>!</v>
      </c>
      <c r="J293" s="178" t="str">
        <f>IFERROR(CONCATENATE(VLOOKUP(A293,GM_Table,12,FALSE)," ",(VLOOKUP(A293,GM_Table,13,FALSE))),"")</f>
        <v/>
      </c>
    </row>
    <row r="294" spans="1:10">
      <c r="A294" s="189" t="s">
        <v>1784</v>
      </c>
      <c r="B294" s="190" t="s">
        <v>1784</v>
      </c>
      <c r="C294" s="191">
        <v>0.46920000000000001</v>
      </c>
      <c r="D294" s="200" t="s">
        <v>2438</v>
      </c>
      <c r="E294" s="200" t="s">
        <v>2439</v>
      </c>
      <c r="F294" s="177" t="b">
        <f>IF(ISBLANK(FarmUnit[[#This Row],[1. Identifiant interne d’exploitation agricole*]]),"",IF(ISERROR(MATCH(FarmUnit[[#This Row],[1. Identifiant interne d’exploitation agricole*]],GroupMember[1. Identifiant interne d’exploitation agricole*],0)),FALSE,TRUE))</f>
        <v>1</v>
      </c>
      <c r="G294" s="192" t="str">
        <f t="shared" si="13"/>
        <v>7.13122</v>
      </c>
      <c r="H294" s="192" t="str">
        <f t="shared" si="14"/>
        <v>-7.71885</v>
      </c>
      <c r="I294" s="193" t="str">
        <f t="array" ref="I294">IF(ISBLANK(C294),"",IF(C294=MAX(IF([1. Identifiant interne d’exploitation agricole*]=A294,[3. Superficie de l’unité agricole (ha)*])),"!","-"))</f>
        <v>!</v>
      </c>
      <c r="J294" s="178" t="str">
        <f>IFERROR(CONCATENATE(VLOOKUP(A294,GM_Table,12,FALSE)," ",(VLOOKUP(A294,GM_Table,13,FALSE))),"")</f>
        <v/>
      </c>
    </row>
    <row r="295" spans="1:10">
      <c r="A295" s="189" t="s">
        <v>1788</v>
      </c>
      <c r="B295" s="190" t="s">
        <v>1788</v>
      </c>
      <c r="C295" s="191">
        <v>1.1722999999999999</v>
      </c>
      <c r="D295" s="200" t="s">
        <v>2440</v>
      </c>
      <c r="E295" s="200" t="s">
        <v>2441</v>
      </c>
      <c r="F295" s="177" t="b">
        <f>IF(ISBLANK(FarmUnit[[#This Row],[1. Identifiant interne d’exploitation agricole*]]),"",IF(ISERROR(MATCH(FarmUnit[[#This Row],[1. Identifiant interne d’exploitation agricole*]],GroupMember[1. Identifiant interne d’exploitation agricole*],0)),FALSE,TRUE))</f>
        <v>1</v>
      </c>
      <c r="G295" s="192" t="str">
        <f t="shared" si="13"/>
        <v>7.12155</v>
      </c>
      <c r="H295" s="192" t="str">
        <f t="shared" si="14"/>
        <v>-7.71681</v>
      </c>
      <c r="I295" s="193" t="str">
        <f t="array" ref="I295">IF(ISBLANK(C295),"",IF(C295=MAX(IF([1. Identifiant interne d’exploitation agricole*]=A295,[3. Superficie de l’unité agricole (ha)*])),"!","-"))</f>
        <v>!</v>
      </c>
      <c r="J295" s="178" t="str">
        <f>IFERROR(CONCATENATE(VLOOKUP(A295,GM_Table,12,FALSE)," ",(VLOOKUP(A295,GM_Table,13,FALSE))),"")</f>
        <v/>
      </c>
    </row>
    <row r="296" spans="1:10">
      <c r="A296" s="189" t="s">
        <v>1791</v>
      </c>
      <c r="B296" s="190" t="s">
        <v>1791</v>
      </c>
      <c r="C296" s="191">
        <v>2.1427999999999998</v>
      </c>
      <c r="D296" s="200" t="s">
        <v>2442</v>
      </c>
      <c r="E296" s="200" t="s">
        <v>2443</v>
      </c>
      <c r="F296" s="177" t="b">
        <f>IF(ISBLANK(FarmUnit[[#This Row],[1. Identifiant interne d’exploitation agricole*]]),"",IF(ISERROR(MATCH(FarmUnit[[#This Row],[1. Identifiant interne d’exploitation agricole*]],GroupMember[1. Identifiant interne d’exploitation agricole*],0)),FALSE,TRUE))</f>
        <v>1</v>
      </c>
      <c r="G296" s="192" t="str">
        <f t="shared" si="13"/>
        <v>7.14418</v>
      </c>
      <c r="H296" s="192" t="str">
        <f t="shared" si="14"/>
        <v>-7.71873</v>
      </c>
      <c r="I296" s="193" t="str">
        <f t="array" ref="I296">IF(ISBLANK(C296),"",IF(C296=MAX(IF([1. Identifiant interne d’exploitation agricole*]=A296,[3. Superficie de l’unité agricole (ha)*])),"!","-"))</f>
        <v>!</v>
      </c>
      <c r="J296" s="178" t="str">
        <f>IFERROR(CONCATENATE(VLOOKUP(A296,GM_Table,12,FALSE)," ",(VLOOKUP(A296,GM_Table,13,FALSE))),"")</f>
        <v/>
      </c>
    </row>
    <row r="297" spans="1:10">
      <c r="A297" s="189" t="s">
        <v>1794</v>
      </c>
      <c r="B297" s="190" t="s">
        <v>1794</v>
      </c>
      <c r="C297" s="191">
        <v>1.5318000000000001</v>
      </c>
      <c r="D297" s="200" t="s">
        <v>2444</v>
      </c>
      <c r="E297" s="200" t="s">
        <v>2445</v>
      </c>
      <c r="F297" s="177" t="b">
        <f>IF(ISBLANK(FarmUnit[[#This Row],[1. Identifiant interne d’exploitation agricole*]]),"",IF(ISERROR(MATCH(FarmUnit[[#This Row],[1. Identifiant interne d’exploitation agricole*]],GroupMember[1. Identifiant interne d’exploitation agricole*],0)),FALSE,TRUE))</f>
        <v>1</v>
      </c>
      <c r="G297" s="192" t="str">
        <f t="shared" si="13"/>
        <v>7.12447</v>
      </c>
      <c r="H297" s="192" t="str">
        <f t="shared" si="14"/>
        <v>-7.64025</v>
      </c>
      <c r="I297" s="193" t="str">
        <f t="array" ref="I297">IF(ISBLANK(C297),"",IF(C297=MAX(IF([1. Identifiant interne d’exploitation agricole*]=A297,[3. Superficie de l’unité agricole (ha)*])),"!","-"))</f>
        <v>!</v>
      </c>
      <c r="J297" s="178" t="str">
        <f>IFERROR(CONCATENATE(VLOOKUP(A297,GM_Table,12,FALSE)," ",(VLOOKUP(A297,GM_Table,13,FALSE))),"")</f>
        <v/>
      </c>
    </row>
    <row r="298" spans="1:10">
      <c r="A298" s="189" t="s">
        <v>1798</v>
      </c>
      <c r="B298" s="190" t="s">
        <v>1798</v>
      </c>
      <c r="C298" s="191">
        <v>0.4405</v>
      </c>
      <c r="D298" s="200" t="s">
        <v>2446</v>
      </c>
      <c r="E298" s="200" t="s">
        <v>2447</v>
      </c>
      <c r="F298" s="177" t="b">
        <f>IF(ISBLANK(FarmUnit[[#This Row],[1. Identifiant interne d’exploitation agricole*]]),"",IF(ISERROR(MATCH(FarmUnit[[#This Row],[1. Identifiant interne d’exploitation agricole*]],GroupMember[1. Identifiant interne d’exploitation agricole*],0)),FALSE,TRUE))</f>
        <v>1</v>
      </c>
      <c r="G298" s="192" t="str">
        <f t="shared" si="13"/>
        <v>7.13065</v>
      </c>
      <c r="H298" s="192" t="str">
        <f t="shared" si="14"/>
        <v>-7.65848</v>
      </c>
      <c r="I298" s="193" t="str">
        <f t="array" ref="I298">IF(ISBLANK(C298),"",IF(C298=MAX(IF([1. Identifiant interne d’exploitation agricole*]=A298,[3. Superficie de l’unité agricole (ha)*])),"!","-"))</f>
        <v>!</v>
      </c>
      <c r="J298" s="178" t="str">
        <f>IFERROR(CONCATENATE(VLOOKUP(A298,GM_Table,12,FALSE)," ",(VLOOKUP(A298,GM_Table,13,FALSE))),"")</f>
        <v/>
      </c>
    </row>
    <row r="299" spans="1:10">
      <c r="A299" s="189" t="s">
        <v>1799</v>
      </c>
      <c r="B299" s="190" t="s">
        <v>1799</v>
      </c>
      <c r="C299" s="191">
        <v>3.1612</v>
      </c>
      <c r="D299" s="200" t="s">
        <v>2448</v>
      </c>
      <c r="E299" s="200" t="s">
        <v>2449</v>
      </c>
      <c r="F299" s="177" t="b">
        <f>IF(ISBLANK(FarmUnit[[#This Row],[1. Identifiant interne d’exploitation agricole*]]),"",IF(ISERROR(MATCH(FarmUnit[[#This Row],[1. Identifiant interne d’exploitation agricole*]],GroupMember[1. Identifiant interne d’exploitation agricole*],0)),FALSE,TRUE))</f>
        <v>1</v>
      </c>
      <c r="G299" s="192" t="str">
        <f t="shared" si="13"/>
        <v>7.15481</v>
      </c>
      <c r="H299" s="192" t="str">
        <f t="shared" si="14"/>
        <v>-7.61205</v>
      </c>
      <c r="I299" s="193" t="str">
        <f t="array" ref="I299">IF(ISBLANK(C299),"",IF(C299=MAX(IF([1. Identifiant interne d’exploitation agricole*]=A299,[3. Superficie de l’unité agricole (ha)*])),"!","-"))</f>
        <v>!</v>
      </c>
      <c r="J299" s="178" t="str">
        <f>IFERROR(CONCATENATE(VLOOKUP(A299,GM_Table,12,FALSE)," ",(VLOOKUP(A299,GM_Table,13,FALSE))),"")</f>
        <v/>
      </c>
    </row>
    <row r="300" spans="1:10" ht="15">
      <c r="A300" s="189" t="s">
        <v>1803</v>
      </c>
      <c r="B300" s="190" t="s">
        <v>1803</v>
      </c>
      <c r="C300" s="191">
        <v>0.94450000000000001</v>
      </c>
      <c r="D300" s="197" t="s">
        <v>2450</v>
      </c>
      <c r="E300" s="197" t="s">
        <v>2451</v>
      </c>
      <c r="F300" s="177" t="b">
        <f>IF(ISBLANK(FarmUnit[[#This Row],[1. Identifiant interne d’exploitation agricole*]]),"",IF(ISERROR(MATCH(FarmUnit[[#This Row],[1. Identifiant interne d’exploitation agricole*]],GroupMember[1. Identifiant interne d’exploitation agricole*],0)),FALSE,TRUE))</f>
        <v>1</v>
      </c>
      <c r="G300" s="192" t="str">
        <f t="shared" si="13"/>
        <v>7.14272</v>
      </c>
      <c r="H300" s="192" t="str">
        <f t="shared" si="14"/>
        <v>-7.61964</v>
      </c>
      <c r="I300" s="193" t="str">
        <f t="array" ref="I300">IF(ISBLANK(C300),"",IF(C300=MAX(IF([1. Identifiant interne d’exploitation agricole*]=A300,[3. Superficie de l’unité agricole (ha)*])),"!","-"))</f>
        <v>!</v>
      </c>
      <c r="J300" s="178" t="str">
        <f>IFERROR(CONCATENATE(VLOOKUP(A300,GM_Table,12,FALSE)," ",(VLOOKUP(A300,GM_Table,13,FALSE))),"")</f>
        <v/>
      </c>
    </row>
    <row r="301" spans="1:10">
      <c r="A301" s="189" t="s">
        <v>1808</v>
      </c>
      <c r="B301" s="190" t="s">
        <v>1808</v>
      </c>
      <c r="C301" s="191">
        <v>2.9626000000000001</v>
      </c>
      <c r="D301" s="200" t="s">
        <v>2452</v>
      </c>
      <c r="E301" s="200" t="s">
        <v>2453</v>
      </c>
      <c r="F301" s="177" t="b">
        <f>IF(ISBLANK(FarmUnit[[#This Row],[1. Identifiant interne d’exploitation agricole*]]),"",IF(ISERROR(MATCH(FarmUnit[[#This Row],[1. Identifiant interne d’exploitation agricole*]],GroupMember[1. Identifiant interne d’exploitation agricole*],0)),FALSE,TRUE))</f>
        <v>1</v>
      </c>
      <c r="G301" s="192" t="str">
        <f t="shared" si="13"/>
        <v>7.056364</v>
      </c>
      <c r="H301" s="192" t="str">
        <f t="shared" si="14"/>
        <v>-7.770289</v>
      </c>
      <c r="I301" s="193" t="str">
        <f t="array" ref="I301">IF(ISBLANK(C301),"",IF(C301=MAX(IF([1. Identifiant interne d’exploitation agricole*]=A301,[3. Superficie de l’unité agricole (ha)*])),"!","-"))</f>
        <v>!</v>
      </c>
      <c r="J301" s="178" t="str">
        <f>IFERROR(CONCATENATE(VLOOKUP(A301,GM_Table,12,FALSE)," ",(VLOOKUP(A301,GM_Table,13,FALSE))),"")</f>
        <v/>
      </c>
    </row>
    <row r="302" spans="1:10">
      <c r="A302" s="189" t="s">
        <v>1812</v>
      </c>
      <c r="B302" s="190" t="s">
        <v>1812</v>
      </c>
      <c r="C302" s="191">
        <v>0.70669999999999999</v>
      </c>
      <c r="D302" s="200" t="s">
        <v>2454</v>
      </c>
      <c r="E302" s="200" t="s">
        <v>2455</v>
      </c>
      <c r="F302" s="177" t="b">
        <f>IF(ISBLANK(FarmUnit[[#This Row],[1. Identifiant interne d’exploitation agricole*]]),"",IF(ISERROR(MATCH(FarmUnit[[#This Row],[1. Identifiant interne d’exploitation agricole*]],GroupMember[1. Identifiant interne d’exploitation agricole*],0)),FALSE,TRUE))</f>
        <v>1</v>
      </c>
      <c r="G302" s="192" t="str">
        <f t="shared" si="13"/>
        <v>7.057556</v>
      </c>
      <c r="H302" s="192" t="str">
        <f t="shared" si="14"/>
        <v>-7.767022</v>
      </c>
      <c r="I302" s="193" t="str">
        <f t="array" ref="I302">IF(ISBLANK(C302),"",IF(C302=MAX(IF([1. Identifiant interne d’exploitation agricole*]=A302,[3. Superficie de l’unité agricole (ha)*])),"!","-"))</f>
        <v>!</v>
      </c>
      <c r="J302" s="178" t="str">
        <f>IFERROR(CONCATENATE(VLOOKUP(A302,GM_Table,12,FALSE)," ",(VLOOKUP(A302,GM_Table,13,FALSE))),"")</f>
        <v/>
      </c>
    </row>
    <row r="303" spans="1:10">
      <c r="A303" s="189" t="s">
        <v>1817</v>
      </c>
      <c r="B303" s="190" t="s">
        <v>1817</v>
      </c>
      <c r="C303" s="191">
        <v>1.8405</v>
      </c>
      <c r="D303" s="200" t="s">
        <v>2456</v>
      </c>
      <c r="E303" s="200" t="s">
        <v>2457</v>
      </c>
      <c r="F303" s="177" t="b">
        <f>IF(ISBLANK(FarmUnit[[#This Row],[1. Identifiant interne d’exploitation agricole*]]),"",IF(ISERROR(MATCH(FarmUnit[[#This Row],[1. Identifiant interne d’exploitation agricole*]],GroupMember[1. Identifiant interne d’exploitation agricole*],0)),FALSE,TRUE))</f>
        <v>1</v>
      </c>
      <c r="G303" s="192" t="str">
        <f t="shared" si="13"/>
        <v>7.057609</v>
      </c>
      <c r="H303" s="192" t="str">
        <f t="shared" si="14"/>
        <v>-7.762608</v>
      </c>
      <c r="I303" s="193" t="str">
        <f t="array" ref="I303">IF(ISBLANK(C303),"",IF(C303=MAX(IF([1. Identifiant interne d’exploitation agricole*]=A303,[3. Superficie de l’unité agricole (ha)*])),"!","-"))</f>
        <v>!</v>
      </c>
      <c r="J303" s="178" t="str">
        <f>IFERROR(CONCATENATE(VLOOKUP(A303,GM_Table,12,FALSE)," ",(VLOOKUP(A303,GM_Table,13,FALSE))),"")</f>
        <v/>
      </c>
    </row>
    <row r="304" spans="1:10">
      <c r="A304" s="189" t="s">
        <v>1820</v>
      </c>
      <c r="B304" s="190" t="s">
        <v>1820</v>
      </c>
      <c r="C304" s="191">
        <v>0.79249999999999998</v>
      </c>
      <c r="D304" s="200" t="s">
        <v>2458</v>
      </c>
      <c r="E304" s="200" t="s">
        <v>2459</v>
      </c>
      <c r="F304" s="177" t="b">
        <f>IF(ISBLANK(FarmUnit[[#This Row],[1. Identifiant interne d’exploitation agricole*]]),"",IF(ISERROR(MATCH(FarmUnit[[#This Row],[1. Identifiant interne d’exploitation agricole*]],GroupMember[1. Identifiant interne d’exploitation agricole*],0)),FALSE,TRUE))</f>
        <v>1</v>
      </c>
      <c r="G304" s="192" t="str">
        <f t="shared" si="13"/>
        <v>7.069692</v>
      </c>
      <c r="H304" s="192" t="str">
        <f t="shared" si="14"/>
        <v>-7.762148</v>
      </c>
      <c r="I304" s="193" t="str">
        <f t="array" ref="I304">IF(ISBLANK(C304),"",IF(C304=MAX(IF([1. Identifiant interne d’exploitation agricole*]=A304,[3. Superficie de l’unité agricole (ha)*])),"!","-"))</f>
        <v>!</v>
      </c>
      <c r="J304" s="178" t="str">
        <f>IFERROR(CONCATENATE(VLOOKUP(A304,GM_Table,12,FALSE)," ",(VLOOKUP(A304,GM_Table,13,FALSE))),"")</f>
        <v/>
      </c>
    </row>
    <row r="305" spans="1:10">
      <c r="A305" s="189" t="s">
        <v>1823</v>
      </c>
      <c r="B305" s="190" t="s">
        <v>1823</v>
      </c>
      <c r="C305" s="191">
        <v>1.3383</v>
      </c>
      <c r="D305" s="200" t="s">
        <v>2460</v>
      </c>
      <c r="E305" s="200" t="s">
        <v>2461</v>
      </c>
      <c r="F305" s="177" t="b">
        <f>IF(ISBLANK(FarmUnit[[#This Row],[1. Identifiant interne d’exploitation agricole*]]),"",IF(ISERROR(MATCH(FarmUnit[[#This Row],[1. Identifiant interne d’exploitation agricole*]],GroupMember[1. Identifiant interne d’exploitation agricole*],0)),FALSE,TRUE))</f>
        <v>1</v>
      </c>
      <c r="G305" s="192" t="str">
        <f t="shared" si="13"/>
        <v>7.11717</v>
      </c>
      <c r="H305" s="192" t="str">
        <f t="shared" si="14"/>
        <v>-7.62632</v>
      </c>
      <c r="I305" s="193" t="str">
        <f t="array" ref="I305">IF(ISBLANK(C305),"",IF(C305=MAX(IF([1. Identifiant interne d’exploitation agricole*]=A305,[3. Superficie de l’unité agricole (ha)*])),"!","-"))</f>
        <v>!</v>
      </c>
      <c r="J305" s="178" t="str">
        <f>IFERROR(CONCATENATE(VLOOKUP(A305,GM_Table,12,FALSE)," ",(VLOOKUP(A305,GM_Table,13,FALSE))),"")</f>
        <v/>
      </c>
    </row>
    <row r="306" spans="1:10">
      <c r="A306" s="189" t="s">
        <v>1825</v>
      </c>
      <c r="B306" s="190" t="s">
        <v>1825</v>
      </c>
      <c r="C306" s="191">
        <v>1.1314</v>
      </c>
      <c r="D306" s="200" t="s">
        <v>2462</v>
      </c>
      <c r="E306" s="200" t="s">
        <v>2463</v>
      </c>
      <c r="F306" s="177" t="b">
        <f>IF(ISBLANK(FarmUnit[[#This Row],[1. Identifiant interne d’exploitation agricole*]]),"",IF(ISERROR(MATCH(FarmUnit[[#This Row],[1. Identifiant interne d’exploitation agricole*]],GroupMember[1. Identifiant interne d’exploitation agricole*],0)),FALSE,TRUE))</f>
        <v>1</v>
      </c>
      <c r="G306" s="192" t="str">
        <f t="shared" si="13"/>
        <v>7.10795</v>
      </c>
      <c r="H306" s="192" t="str">
        <f t="shared" si="14"/>
        <v>-7.62587</v>
      </c>
      <c r="I306" s="193" t="str">
        <f t="array" ref="I306">IF(ISBLANK(C306),"",IF(C306=MAX(IF([1. Identifiant interne d’exploitation agricole*]=A306,[3. Superficie de l’unité agricole (ha)*])),"!","-"))</f>
        <v>!</v>
      </c>
      <c r="J306" s="178" t="str">
        <f>IFERROR(CONCATENATE(VLOOKUP(A306,GM_Table,12,FALSE)," ",(VLOOKUP(A306,GM_Table,13,FALSE))),"")</f>
        <v/>
      </c>
    </row>
    <row r="307" spans="1:10">
      <c r="A307" s="189" t="s">
        <v>1827</v>
      </c>
      <c r="B307" s="190" t="s">
        <v>1827</v>
      </c>
      <c r="C307" s="191">
        <v>1.4827999999999999</v>
      </c>
      <c r="D307" s="200" t="s">
        <v>2464</v>
      </c>
      <c r="E307" s="200" t="s">
        <v>2465</v>
      </c>
      <c r="F307" s="177" t="b">
        <f>IF(ISBLANK(FarmUnit[[#This Row],[1. Identifiant interne d’exploitation agricole*]]),"",IF(ISERROR(MATCH(FarmUnit[[#This Row],[1. Identifiant interne d’exploitation agricole*]],GroupMember[1. Identifiant interne d’exploitation agricole*],0)),FALSE,TRUE))</f>
        <v>1</v>
      </c>
      <c r="G307" s="192" t="str">
        <f t="shared" si="13"/>
        <v>7.028658</v>
      </c>
      <c r="H307" s="192" t="str">
        <f t="shared" si="14"/>
        <v>-7.783334</v>
      </c>
      <c r="I307" s="193" t="str">
        <f t="array" ref="I307">IF(ISBLANK(C307),"",IF(C307=MAX(IF([1. Identifiant interne d’exploitation agricole*]=A307,[3. Superficie de l’unité agricole (ha)*])),"!","-"))</f>
        <v>!</v>
      </c>
      <c r="J307" s="178" t="str">
        <f>IFERROR(CONCATENATE(VLOOKUP(A307,GM_Table,12,FALSE)," ",(VLOOKUP(A307,GM_Table,13,FALSE))),"")</f>
        <v/>
      </c>
    </row>
  </sheetData>
  <protectedRanges>
    <protectedRange sqref="G1:J1 G3:J307" name="DataValFU"/>
    <protectedRange sqref="G2:J2" name="DataValFU_1"/>
  </protectedRanges>
  <mergeCells count="2">
    <mergeCell ref="A1:E1"/>
    <mergeCell ref="G1:J1"/>
  </mergeCells>
  <phoneticPr fontId="18" type="noConversion"/>
  <conditionalFormatting sqref="I3:I307">
    <cfRule type="cellIs" dxfId="43" priority="30" operator="equal">
      <formula>"!"</formula>
    </cfRule>
  </conditionalFormatting>
  <conditionalFormatting sqref="H3:H307">
    <cfRule type="cellIs" dxfId="42" priority="17" operator="lessThan">
      <formula>-180</formula>
    </cfRule>
    <cfRule type="cellIs" dxfId="41" priority="27" operator="greaterThan">
      <formula>180</formula>
    </cfRule>
    <cfRule type="cellIs" dxfId="40" priority="28" operator="between">
      <formula>-180</formula>
      <formula>180</formula>
    </cfRule>
    <cfRule type="cellIs" dxfId="39" priority="29" operator="equal">
      <formula>0</formula>
    </cfRule>
  </conditionalFormatting>
  <conditionalFormatting sqref="G3:G307">
    <cfRule type="cellIs" dxfId="38" priority="3" operator="between">
      <formula>-30</formula>
      <formula>30</formula>
    </cfRule>
    <cfRule type="cellIs" dxfId="37" priority="14" operator="lessThan">
      <formula>-90</formula>
    </cfRule>
    <cfRule type="cellIs" dxfId="36" priority="16" operator="greaterThan">
      <formula>90</formula>
    </cfRule>
    <cfRule type="cellIs" dxfId="35" priority="31" operator="lessThan">
      <formula>-30</formula>
    </cfRule>
    <cfRule type="cellIs" dxfId="34" priority="66" operator="greaterThan">
      <formula>30</formula>
    </cfRule>
  </conditionalFormatting>
  <conditionalFormatting sqref="F3:F307">
    <cfRule type="containsText" dxfId="33" priority="2" operator="containsText" text="FALSE">
      <formula>NOT(ISERROR(SEARCH("FALSE",F3)))</formula>
    </cfRule>
  </conditionalFormatting>
  <conditionalFormatting sqref="D3:E307">
    <cfRule type="duplicateValues" dxfId="32" priority="1538"/>
  </conditionalFormatting>
  <dataValidations count="9">
    <dataValidation errorStyle="information" allowBlank="1" showInputMessage="1" showErrorMessage="1" sqref="G3:I307"/>
    <dataValidation allowBlank="1" showInputMessage="1" showErrorMessage="1" promptTitle="Attention" prompt="It is obligatory to provide one GPS point for the largest farm unit of each group member!&#10;Please use a number format, 4 or more decimals. &#10;XX.XXXX or XX,XXXX&#10;If you use the wrong format, the columns on the right will be marked in red." sqref="E2"/>
    <dataValidation allowBlank="1" showInputMessage="1" showErrorMessage="1" promptTitle="-90 to 90" prompt="If the cell is red, it is incorrect, please correct the data.&#10;&#10;Check that you are using the correct decimal ( , or . )&#10;If the cell shows too many decimal &quot;0&quot;, please make sure to have more precise data.&#10;" sqref="G2"/>
    <dataValidation allowBlank="1" showInputMessage="1" showErrorMessage="1" promptTitle="-180 to 180" prompt="If the cell is red, please correct the data.&#10;Please make sure you are using the right decimal  ( , or . )&#10;If you see too many decimal &quot;0&quot;, please input more precise data." sqref="H2"/>
    <dataValidation allowBlank="1" showInputMessage="1" showErrorMessage="1" promptTitle="! = largest farm unit" prompt="If a farm has multiple farm units, the geolocation shall be provided for the largest farm unit with the certified crop. (Farm requirement 1.2.12)&#10;&#10;! indicates the largest farm unit for the same group member ID. It may not contain certified crop.&#10;? other" sqref="I2"/>
    <dataValidation allowBlank="1" showInputMessage="1" showErrorMessage="1" promptTitle="Mandatory value" prompt="Please make sure to use the same ID presented on tab 1. Group member, column 1.&#10;If a member has more than one farm unit of cert- prod repeat the ID as many lines as there are farm units. Please check the requirements on geodata for your upcoming audit." sqref="A2"/>
    <dataValidation allowBlank="1" showInputMessage="1" showErrorMessage="1" promptTitle="Mandatory Information" prompt="The area of the specific farm unit. &#10;The sum of all Farm Units of a group member should not be larger than the Total Farm Area in tab 1. Group Member. &#10;&#10;Use format cell as &quot;number&quot;" sqref="C2"/>
    <dataValidation allowBlank="1" showInputMessage="1" showErrorMessage="1" promptTitle="Mandatory value" prompt="Please indicate here the farm unit ID that you use in your internal management system, e.g. when collecting geolocation data." sqref="B2"/>
    <dataValidation allowBlank="1" showInputMessage="1" showErrorMessage="1" promptTitle="Attention" prompt="IIt is obligatory to provide one GPS point for the largest farm unit of each group member!&#10;Please use a number format, 4 or more decimals. &#10;XX.XXXX or XX,XXXX&#10;If you use the wrong format, the columns on the right will be marked in red." sqref="D2"/>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sheetPr>
    <tabColor rgb="FFFFC000"/>
  </sheetPr>
  <dimension ref="A1:F104"/>
  <sheetViews>
    <sheetView showGridLines="0" topLeftCell="A88" zoomScale="80" zoomScaleNormal="80" workbookViewId="0">
      <selection activeCell="D82" sqref="D82"/>
    </sheetView>
  </sheetViews>
  <sheetFormatPr baseColWidth="10" defaultColWidth="8.7109375" defaultRowHeight="16.5"/>
  <cols>
    <col min="1" max="1" width="43.42578125" style="23" customWidth="1"/>
    <col min="2" max="2" width="45.7109375" style="23" customWidth="1"/>
    <col min="3" max="3" width="25" style="56" customWidth="1"/>
    <col min="4" max="4" width="41.28515625" style="23" customWidth="1"/>
    <col min="5" max="5" width="41.28515625" style="51" customWidth="1"/>
    <col min="6" max="6" width="20" style="23" customWidth="1"/>
    <col min="7" max="7" width="17" style="23" customWidth="1"/>
    <col min="8" max="18" width="50.7109375" style="23" bestFit="1" customWidth="1"/>
    <col min="19" max="19" width="36.28515625" style="23" bestFit="1" customWidth="1"/>
    <col min="20" max="20" width="55.28515625" style="23" bestFit="1" customWidth="1"/>
    <col min="21" max="28" width="69.5703125" style="23" bestFit="1" customWidth="1"/>
    <col min="29" max="29" width="32" style="23" bestFit="1" customWidth="1"/>
    <col min="30" max="30" width="74.28515625" style="23" bestFit="1" customWidth="1"/>
    <col min="31" max="16384" width="8.7109375" style="23"/>
  </cols>
  <sheetData>
    <row r="1" spans="1:6" s="11" customFormat="1">
      <c r="C1" s="52"/>
      <c r="E1" s="47"/>
    </row>
    <row r="2" spans="1:6" s="98" customFormat="1" ht="21.75" thickBot="1">
      <c r="A2" s="97" t="s">
        <v>5</v>
      </c>
      <c r="C2" s="99"/>
      <c r="E2" s="100"/>
    </row>
    <row r="3" spans="1:6" s="98" customFormat="1" ht="20.25" thickTop="1">
      <c r="A3" s="98" t="s">
        <v>6</v>
      </c>
      <c r="C3" s="99"/>
      <c r="E3" s="100"/>
    </row>
    <row r="4" spans="1:6" s="98" customFormat="1" ht="46.15" customHeight="1">
      <c r="A4" s="241" t="s">
        <v>7</v>
      </c>
      <c r="B4" s="241"/>
      <c r="C4" s="241"/>
      <c r="D4" s="241"/>
      <c r="E4" s="241"/>
    </row>
    <row r="5" spans="1:6" s="11" customFormat="1">
      <c r="C5" s="52"/>
      <c r="E5" s="47"/>
    </row>
    <row r="6" spans="1:6" s="11" customFormat="1" ht="18.75">
      <c r="A6" s="15" t="s">
        <v>8</v>
      </c>
      <c r="C6" s="52"/>
      <c r="E6" s="47"/>
    </row>
    <row r="7" spans="1:6" s="11" customFormat="1" ht="30">
      <c r="A7" s="17" t="s">
        <v>190</v>
      </c>
      <c r="B7" s="17" t="s">
        <v>191</v>
      </c>
      <c r="C7" s="53" t="s">
        <v>192</v>
      </c>
      <c r="D7" s="17" t="s">
        <v>193</v>
      </c>
      <c r="E7" s="48" t="s">
        <v>194</v>
      </c>
      <c r="F7" s="17" t="s">
        <v>195</v>
      </c>
    </row>
    <row r="8" spans="1:6" s="91" customFormat="1" ht="69">
      <c r="A8" s="101" t="s">
        <v>196</v>
      </c>
      <c r="B8" s="102" t="s">
        <v>197</v>
      </c>
      <c r="C8" s="103">
        <f t="array" ref="C8">SUMPRODUCT((GroupMember[1. Identifiant interne d’exploitation agricole*]&lt;&gt;"")/COUNTIF(GroupMember[1. Identifiant interne d’exploitation agricole*],GroupMember[1. Identifiant interne d’exploitation agricole*]&amp;""))</f>
        <v>305</v>
      </c>
      <c r="D8" s="104" t="s">
        <v>232</v>
      </c>
      <c r="E8" s="105"/>
      <c r="F8" s="106"/>
    </row>
    <row r="9" spans="1:6" s="91" customFormat="1" ht="51.75">
      <c r="A9" s="101"/>
      <c r="B9" s="102" t="s">
        <v>198</v>
      </c>
      <c r="C9" s="107" t="b">
        <f t="array" ref="C9">IF(SUMPRODUCT((GroupMember[1. Identifiant interne d’exploitation agricole*]&lt;&gt;"")/COUNTIF(GroupMember[1. Identifiant interne d’exploitation agricole*],GroupMember[1. Identifiant interne d’exploitation agricole*]&amp;""))=COUNTA(GroupMember[1. Identifiant interne d’exploitation agricole*]),TRUE,FALSE)</f>
        <v>1</v>
      </c>
      <c r="D9" s="104" t="s">
        <v>233</v>
      </c>
      <c r="E9" s="108" t="str">
        <f t="array" ref="E9">IF(ISNA(MATCH(TRUE,(COUNTIF(GroupMember[1. Identifiant interne d’exploitation agricole*],GroupMember[1. Identifiant interne d’exploitation agricole*]))&gt;1,0)),Translations!$B$9, "A"&amp;MATCH(TRUE,(COUNTIF(GroupMember[1. Identifiant interne d’exploitation agricole*],GroupMember[1. Identifiant interne d’exploitation agricole*]))&gt;1,0)+2)</f>
        <v>Il n’y a aucun doublon.</v>
      </c>
      <c r="F9" s="109" t="str">
        <f t="array" aca="1" ref="F9" ca="1">IF(E9=Translations!$B$9,HYPERLINK("#"&amp;CELL("address"),Translations!B8),HYPERLINK("#'1. Group member'!"&amp;E9,Translations!$B$10))</f>
        <v>Non applicable.</v>
      </c>
    </row>
    <row r="10" spans="1:6" s="91" customFormat="1" ht="189.75">
      <c r="A10" s="101" t="s">
        <v>101</v>
      </c>
      <c r="B10" s="104" t="s">
        <v>199</v>
      </c>
      <c r="C10" s="108" t="b">
        <f t="array" ref="C10">AND(ISBLANK(GroupMember[1. Identifiant interne d’exploitation agricole*])=ISBLANK(GroupMember[2. Identifiant national d’exploitation agricole**]))</f>
        <v>1</v>
      </c>
      <c r="D10" s="104" t="s">
        <v>234</v>
      </c>
      <c r="E10" s="108" t="str">
        <f t="array" ref="E10">IF(ISNA(MATCH(FALSE,(ISBLANK(GroupMember[1. Identifiant interne d’exploitation agricole*])=ISBLANK(GroupMember[2. Identifiant national d’exploitation agricole**])),0)),Translations!$B$12, "B"&amp;MATCH(FALSE,(ISBLANK(GroupMember[1. Identifiant interne d’exploitation agricole*])=ISBLANK(GroupMember[2. Identifiant national d’exploitation agricole**])),0)+2)</f>
        <v>Il n’y a aucune cellule vide.</v>
      </c>
      <c r="F10" s="109" t="str">
        <f t="array" aca="1" ref="F10" ca="1">IF(E10=Translations!$B$12,HYPERLINK("#"&amp;CELL("address"),Translations!$B$8),HYPERLINK("#'1. Group member'!"&amp;E10,Translations!$B$11))</f>
        <v>Non applicable.</v>
      </c>
    </row>
    <row r="11" spans="1:6" s="91" customFormat="1" ht="103.5">
      <c r="A11" s="101" t="s">
        <v>102</v>
      </c>
      <c r="B11" s="104" t="s">
        <v>200</v>
      </c>
      <c r="C11" s="108" t="b">
        <f t="array" ref="C11">AND(ISBLANK(GroupMember[1. Identifiant interne d’exploitation agricole*])=ISBLANK(GroupMember[3. Identifiant interne d’exploitation agricole*]))</f>
        <v>1</v>
      </c>
      <c r="D11" s="104" t="s">
        <v>234</v>
      </c>
      <c r="E11" s="108" t="str">
        <f t="array" ref="E11">IF(ISNA(MATCH(FALSE,(ISBLANK(GroupMember[1. Identifiant interne d’exploitation agricole*])=ISBLANK(GroupMember[3. Identifiant interne d’exploitation agricole*])),0)),Translations!$B$12, "C"&amp;MATCH(FALSE,(ISBLANK(GroupMember[1. Identifiant interne d’exploitation agricole*])=ISBLANK(GroupMember[3. Identifiant interne d’exploitation agricole*])),0)+2)</f>
        <v>Il n’y a aucune cellule vide.</v>
      </c>
      <c r="F11" s="109" t="str">
        <f t="array" aca="1" ref="F11" ca="1">IF(E11=Translations!$B$12,HYPERLINK("#"&amp;CELL("address"),Translations!$B$8),HYPERLINK("#'1. Group member'!"&amp;E11,Translations!$B$11))</f>
        <v>Non applicable.</v>
      </c>
    </row>
    <row r="12" spans="1:6" s="91" customFormat="1" ht="51.75">
      <c r="A12" s="101"/>
      <c r="B12" s="104" t="s">
        <v>201</v>
      </c>
      <c r="C12" s="107" t="b">
        <f t="array" ref="C12">IF(SUMPRODUCT((GroupMember[3. Identifiant interne d’exploitation agricole*]&lt;&gt;"")/COUNTIF(GroupMember[3. Identifiant interne d’exploitation agricole*],GroupMember[3. Identifiant interne d’exploitation agricole*]&amp;""))=COUNTA(GroupMember[3. Identifiant interne d’exploitation agricole*]),TRUE,FALSE)</f>
        <v>1</v>
      </c>
      <c r="D12" s="104" t="s">
        <v>233</v>
      </c>
      <c r="E12" s="108" t="str">
        <f t="array" ref="E12">IF(ISNA(MATCH(TRUE,(COUNTIF(GroupMember[3. Identifiant interne d’exploitation agricole*],GroupMember[3. Identifiant interne d’exploitation agricole*]))&gt;1,0)),Translations!$B$9, "A"&amp;MATCH(TRUE,(COUNTIF(GroupMember[3. Identifiant interne d’exploitation agricole*],GroupMember[3. Identifiant interne d’exploitation agricole*]))&gt;1,0)+2)</f>
        <v>Il n’y a aucun doublon.</v>
      </c>
      <c r="F12" s="109" t="str">
        <f t="array" aca="1" ref="F12" ca="1">IF(E12=Translations!$B$9,HYPERLINK("#"&amp;CELL("address"),Translations!$B$8),HYPERLINK("#'1. Group member'!"&amp;E12,Translations!$B$10))</f>
        <v>Non applicable.</v>
      </c>
    </row>
    <row r="13" spans="1:6" s="91" customFormat="1" ht="69">
      <c r="A13" s="101" t="s">
        <v>4</v>
      </c>
      <c r="B13" s="104" t="s">
        <v>202</v>
      </c>
      <c r="C13" s="108" t="b">
        <f t="array" ref="C13">AND(ISBLANK(GroupMember[1. Identifiant interne d’exploitation agricole*])=ISBLANK(GroupMember[4. Village*]))</f>
        <v>1</v>
      </c>
      <c r="D13" s="104" t="s">
        <v>234</v>
      </c>
      <c r="E13" s="108" t="str">
        <f t="array" ref="E13">IF(ISNA(MATCH(FALSE,(ISBLANK(GroupMember[1. Identifiant interne d’exploitation agricole*])=ISBLANK(GroupMember[4. Village*])),0)),Translations!$B$12, "D"&amp;MATCH(FALSE,(ISBLANK(GroupMember[1. Identifiant interne d’exploitation agricole*])=ISBLANK(GroupMember[4. Village*])),0)+2)</f>
        <v>Il n’y a aucune cellule vide.</v>
      </c>
      <c r="F13" s="109" t="str">
        <f t="array" aca="1" ref="F13" ca="1">IF(E13=Translations!$B$12,HYPERLINK("#"&amp;CELL("address"),Translations!$B$8),HYPERLINK("#'1. Group member'!"&amp;E13,Translations!$B$11))</f>
        <v>Non applicable.</v>
      </c>
    </row>
    <row r="14" spans="1:6" s="91" customFormat="1" ht="34.5">
      <c r="A14" s="101" t="s">
        <v>103</v>
      </c>
      <c r="B14" s="104" t="s">
        <v>203</v>
      </c>
      <c r="C14" s="105"/>
      <c r="D14" s="110"/>
      <c r="E14" s="111"/>
      <c r="F14" s="106"/>
    </row>
    <row r="15" spans="1:6" s="91" customFormat="1" ht="86.25">
      <c r="A15" s="101" t="s">
        <v>104</v>
      </c>
      <c r="B15" s="104" t="s">
        <v>204</v>
      </c>
      <c r="C15" s="108" t="b">
        <f t="array" ref="C15">AND(ISBLANK(GroupMember[1. Identifiant interne d’exploitation agricole*])=ISBLANK(GroupMember[6. District/État/Province*]))</f>
        <v>1</v>
      </c>
      <c r="D15" s="104" t="s">
        <v>234</v>
      </c>
      <c r="E15" s="108" t="str">
        <f t="array" ref="E15">IF(ISNA(MATCH(FALSE,(ISBLANK(GroupMember[1. Identifiant interne d’exploitation agricole*])=ISBLANK(GroupMember[6. District/État/Province*])),0)),Translations!$B$12, "F"&amp;MATCH(FALSE,(ISBLANK(GroupMember[1. Identifiant interne d’exploitation agricole*])=ISBLANK(GroupMember[6. District/État/Province*])),0)+2)</f>
        <v>Il n’y a aucune cellule vide.</v>
      </c>
      <c r="F15" s="109" t="str">
        <f t="array" aca="1" ref="F15" ca="1">IF(E15=Translations!$B$12,HYPERLINK("#"&amp;CELL("address"),Translations!$B$8),HYPERLINK("#'1. Group member'!"&amp;E15,Translations!$B$11))</f>
        <v>Non applicable.</v>
      </c>
    </row>
    <row r="16" spans="1:6" s="91" customFormat="1" ht="34.5">
      <c r="A16" s="101" t="s">
        <v>105</v>
      </c>
      <c r="B16" s="104" t="s">
        <v>203</v>
      </c>
      <c r="C16" s="112"/>
      <c r="D16" s="110"/>
      <c r="E16" s="111"/>
      <c r="F16" s="106"/>
    </row>
    <row r="17" spans="1:6" s="91" customFormat="1" ht="86.25">
      <c r="A17" s="101" t="s">
        <v>106</v>
      </c>
      <c r="B17" s="104" t="s">
        <v>205</v>
      </c>
      <c r="C17" s="108" t="b">
        <f t="array" ref="C17">AND(ISBLANK(GroupMember[1. Identifiant interne d’exploitation agricole*])=ISBLANK(GroupMember[8. Superficie totale de l’exploitation agricole (ha)*]))</f>
        <v>1</v>
      </c>
      <c r="D17" s="104" t="s">
        <v>234</v>
      </c>
      <c r="E17" s="108" t="str">
        <f t="array" ref="E17">IF(ISNA(MATCH(FALSE,(ISBLANK(GroupMember[1. Identifiant interne d’exploitation agricole*])=ISBLANK(GroupMember[8. Superficie totale de l’exploitation agricole (ha)*])),0)),Translations!$B$12, "H"&amp;MATCH(FALSE,(ISBLANK(GroupMember[1. Identifiant interne d’exploitation agricole*])=ISBLANK(GroupMember[8. Superficie totale de l’exploitation agricole (ha)*])),0)+2)</f>
        <v>Il n’y a aucune cellule vide.</v>
      </c>
      <c r="F17" s="109" t="str">
        <f t="array" aca="1" ref="F17" ca="1">IF(E17=Translations!$B$12,HYPERLINK("#"&amp;CELL("address"),Translations!$B$8),HYPERLINK("#'1. Group member'!"&amp;E17,Translations!$B$11))</f>
        <v>Non applicable.</v>
      </c>
    </row>
    <row r="18" spans="1:6" s="91" customFormat="1" ht="34.5">
      <c r="A18" s="101"/>
      <c r="B18" s="104" t="s">
        <v>206</v>
      </c>
      <c r="C18" s="108" t="b">
        <f t="array" ref="C18">AND(ISNUMBER(GroupMember[8. Superficie totale de l’exploitation agricole (ha)*])+ISBLANK(GroupMember[8. Superficie totale de l’exploitation agricole (ha)*]))</f>
        <v>1</v>
      </c>
      <c r="D18" s="104" t="s">
        <v>235</v>
      </c>
      <c r="E18" s="108" t="str">
        <f t="array" ref="E18">IF(AND(ISNUMBER(GroupMember[8. Superficie totale de l’exploitation agricole (ha)*])+ISBLANK(GroupMember[8. Superficie totale de l’exploitation agricole (ha)*])),Translations!$B$13, "H"&amp;MATCH(0,(ISNUMBER(GroupMember[8. Superficie totale de l’exploitation agricole (ha)*])+ISBLANK(GroupMember[8. Superficie totale de l’exploitation agricole (ha)*])),0)+2)</f>
        <v>Toutes les cellules sont des nombres</v>
      </c>
      <c r="F18" s="109" t="str">
        <f t="array" aca="1" ref="F18" ca="1">IF(E18=Translations!$B$13,HYPERLINK("#"&amp;CELL("address"),Translations!$B$8),HYPERLINK("#'1. Group member'!"&amp;E18,Translations!$B$14))</f>
        <v>Non applicable.</v>
      </c>
    </row>
    <row r="19" spans="1:6" s="91" customFormat="1" ht="86.25">
      <c r="A19" s="101" t="s">
        <v>107</v>
      </c>
      <c r="B19" s="104" t="s">
        <v>207</v>
      </c>
      <c r="C19" s="108" t="b">
        <f t="array" ref="C19">AND(ISBLANK(GroupMember[1. Identifiant interne d’exploitation agricole*])=ISBLANK(GroupMember[9. Type d’exploitation agricole*]))</f>
        <v>1</v>
      </c>
      <c r="D19" s="104" t="s">
        <v>234</v>
      </c>
      <c r="E19" s="108" t="str">
        <f t="array" ref="E19">IF(ISNA(MATCH(FALSE,(ISBLANK(GroupMember[1. Identifiant interne d’exploitation agricole*])=ISBLANK(GroupMember[9. Type d’exploitation agricole*])),0)),Translations!$B$12, "I"&amp;MATCH(FALSE,(ISBLANK(GroupMember[1. Identifiant interne d’exploitation agricole*])=ISBLANK(GroupMember[9. Type d’exploitation agricole*])),0)+2)</f>
        <v>Il n’y a aucune cellule vide.</v>
      </c>
      <c r="F19" s="109" t="str">
        <f t="array" aca="1" ref="F19" ca="1">IF(E19=Translations!$B$12,HYPERLINK("#"&amp;CELL("address"),Translations!$B$8),HYPERLINK("#'1. Group member'!"&amp;E19,Translations!$B$11))</f>
        <v>Non applicable.</v>
      </c>
    </row>
    <row r="20" spans="1:6" s="91" customFormat="1" ht="69">
      <c r="A20" s="101"/>
      <c r="B20" s="104" t="s">
        <v>208</v>
      </c>
      <c r="C20" s="108" t="b">
        <f t="array" ref="C20">AND(ISNUMBER(SEARCH("Small farm",GroupMember[9. Type d’exploitation agricole*]))+ISNUMBER(SEARCH("Large farm",GroupMember[9. Type d’exploitation agricole*]))+ISBLANK(GroupMember[9. Type d’exploitation agricole*]))</f>
        <v>0</v>
      </c>
      <c r="D20" s="104" t="s">
        <v>236</v>
      </c>
      <c r="E20" s="108" t="str">
        <f t="array" ref="E20">IF(AND((ISNUMBER(SEARCH("Small farm",GroupMember[9. Type d’exploitation agricole*]))+ISNUMBER(SEARCH("Large farm",GroupMember[9. Type d’exploitation agricole*]))+ISBLANK(GroupMember[9. Type d’exploitation agricole*]))),Translations!$B$15, "I"&amp;MATCH(0,(ISNUMBER(SEARCH("Small farm",GroupMember[9. Type d’exploitation agricole*]))+ISNUMBER(SEARCH("Large farm",GroupMember[9. Type d’exploitation agricole*]))+ISBLANK(GroupMember[9. Type d’exploitation agricole*])),0)+2)</f>
        <v>I3</v>
      </c>
      <c r="F20" s="109" t="str">
        <f t="array" aca="1" ref="F20" ca="1">IF(E20=Translations!$B$15,HYPERLINK("#"&amp;CELL("address"),Translations!$B$8),HYPERLINK("#'1. Group member'!"&amp;E20,Translations!$B$14))</f>
        <v>Emplacement de la première cellule non numérique</v>
      </c>
    </row>
    <row r="21" spans="1:6" s="91" customFormat="1" ht="86.25">
      <c r="A21" s="101" t="s">
        <v>108</v>
      </c>
      <c r="B21" s="104" t="s">
        <v>209</v>
      </c>
      <c r="C21" s="108" t="b">
        <f t="array" ref="C21">AND(ISBLANK(GroupMember[1. Identifiant interne d’exploitation agricole*])=ISBLANK(GroupMember[10. Nombre d’unités agricoles*]))</f>
        <v>1</v>
      </c>
      <c r="D21" s="104" t="s">
        <v>234</v>
      </c>
      <c r="E21" s="108" t="str">
        <f t="array" ref="E21">IF(ISNA(MATCH(FALSE,(ISBLANK(GroupMember[1. Identifiant interne d’exploitation agricole*])=ISBLANK(GroupMember[10. Nombre d’unités agricoles*])),0)),Translations!$B$12, "J"&amp;MATCH(FALSE,(ISBLANK(GroupMember[1. Identifiant interne d’exploitation agricole*])=ISBLANK(GroupMember[10. Nombre d’unités agricoles*])),0)+2)</f>
        <v>Il n’y a aucune cellule vide.</v>
      </c>
      <c r="F21" s="109" t="str">
        <f t="array" aca="1" ref="F21" ca="1">IF(E21=Translations!$B$12,HYPERLINK("#"&amp;CELL("address"),Translations!$B$8),HYPERLINK("#'1. Group member'!"&amp;E21,Translations!$B$11))</f>
        <v>Non applicable.</v>
      </c>
    </row>
    <row r="22" spans="1:6" s="91" customFormat="1" ht="34.5">
      <c r="A22" s="101"/>
      <c r="B22" s="104" t="s">
        <v>206</v>
      </c>
      <c r="C22" s="108" t="b">
        <f t="array" ref="C22">AND(ISNUMBER(GroupMember[10. Nombre d’unités agricoles*])+ISBLANK(GroupMember[10. Nombre d’unités agricoles*]))</f>
        <v>1</v>
      </c>
      <c r="D22" s="104" t="s">
        <v>235</v>
      </c>
      <c r="E22" s="108" t="str">
        <f t="array" ref="E22">IF(AND(ISNUMBER(GroupMember[10. Nombre d’unités agricoles*])+ISBLANK(GroupMember[10. Nombre d’unités agricoles*])),Translations!$B$13, "J"&amp;MATCH(0,(ISNUMBER(GroupMember[10. Nombre d’unités agricoles*])+ISBLANK(GroupMember[10. Nombre d’unités agricoles*])),0)+2)</f>
        <v>Toutes les cellules sont des nombres</v>
      </c>
      <c r="F22" s="109" t="str">
        <f t="array" aca="1" ref="F22" ca="1">IF(E22=Translations!$B$13,HYPERLINK("#"&amp;CELL("address"),Translations!$B$8),HYPERLINK("#'1. Group member'!"&amp;E22,Translations!$B$14))</f>
        <v>Non applicable.</v>
      </c>
    </row>
    <row r="23" spans="1:6" s="91" customFormat="1" ht="86.25">
      <c r="A23" s="101" t="s">
        <v>109</v>
      </c>
      <c r="B23" s="104" t="s">
        <v>210</v>
      </c>
      <c r="C23" s="108" t="b">
        <f t="array" ref="C23">AND(ISBLANK(GroupMember[1. Identifiant interne d’exploitation agricole*])=ISBLANK(GroupMember[11. Première année de certification RA*]))</f>
        <v>1</v>
      </c>
      <c r="D23" s="104" t="s">
        <v>234</v>
      </c>
      <c r="E23" s="108" t="str">
        <f t="array" ref="E23">IF(ISNA(MATCH(FALSE,(ISBLANK(GroupMember[1. Identifiant interne d’exploitation agricole*])=ISBLANK(GroupMember[11. Première année de certification RA*])),0)),Translations!$B$12, "K"&amp;MATCH(FALSE,(ISBLANK(GroupMember[1. Identifiant interne d’exploitation agricole*])=ISBLANK(GroupMember[11. Première année de certification RA*])),0)+2)</f>
        <v>Il n’y a aucune cellule vide.</v>
      </c>
      <c r="F23" s="109" t="str">
        <f t="array" aca="1" ref="F23" ca="1">IF(E23=Translations!$B$12,HYPERLINK("#"&amp;CELL("address"),Translations!$B$8),HYPERLINK("#'1. Group member'!"&amp;E23,Translations!$B$11))</f>
        <v>Non applicable.</v>
      </c>
    </row>
    <row r="24" spans="1:6" s="91" customFormat="1" ht="34.5">
      <c r="A24" s="101"/>
      <c r="B24" s="104" t="s">
        <v>211</v>
      </c>
      <c r="C24" s="108" t="b">
        <f t="array" ref="C24">AND((GroupMember[11. Première année de certification RA*]&gt;2020)+ISBLANK(GroupMember[11. Première année de certification RA*]))</f>
        <v>1</v>
      </c>
      <c r="D24" s="104" t="s">
        <v>237</v>
      </c>
      <c r="E24" s="108" t="str">
        <f t="array" ref="E24">IF(AND((GroupMember[11. Première année de certification RA*]&gt;2020)+ISBLANK(GroupMember[11. Première année de certification RA*])),Translations!$B$16, "K"&amp;MATCH(0,(GroupMember[11. Première année de certification RA*]&gt;2020)+ISBLANK(GroupMember[11. Première année de certification RA*]),0)+2)</f>
        <v>Toutes les années sont correctes.</v>
      </c>
      <c r="F24" s="109" t="str">
        <f t="array" aca="1" ref="F24" ca="1">IF(E24=Translations!$B$16,HYPERLINK("#"&amp;CELL("address"),Translations!$B$8),HYPERLINK("#'1. Group member'!"&amp;E24,Translations!$B$17))</f>
        <v>Non applicable.</v>
      </c>
    </row>
    <row r="25" spans="1:6" s="91" customFormat="1" ht="69">
      <c r="A25" s="101" t="s">
        <v>111</v>
      </c>
      <c r="B25" s="104" t="s">
        <v>212</v>
      </c>
      <c r="C25" s="108" t="b">
        <f t="array" ref="C25">AND(ISBLANK(GroupMember[1. Identifiant interne d’exploitation agricole*])=ISBLANK(GroupMember[12. Prénom*]))</f>
        <v>1</v>
      </c>
      <c r="D25" s="104" t="s">
        <v>234</v>
      </c>
      <c r="E25" s="108" t="str">
        <f t="array" ref="E25">IF(ISNA(MATCH(FALSE,(ISBLANK(GroupMember[1. Identifiant interne d’exploitation agricole*])=ISBLANK(GroupMember[12. Prénom*])),0)),Translations!$B$12, "L"&amp;MATCH(FALSE,(ISBLANK(GroupMember[1. Identifiant interne d’exploitation agricole*])=ISBLANK(GroupMember[12. Prénom*])),0)+2)</f>
        <v>Il n’y a aucune cellule vide.</v>
      </c>
      <c r="F25" s="109" t="str">
        <f t="array" aca="1" ref="F25" ca="1">IF(E25=Translations!$B$12,HYPERLINK("#"&amp;CELL("address"),Translations!$B$8),HYPERLINK("#'1. Group member'!"&amp;E25,Translations!$B$11))</f>
        <v>Non applicable.</v>
      </c>
    </row>
    <row r="26" spans="1:6" s="91" customFormat="1" ht="86.25">
      <c r="A26" s="101" t="s">
        <v>112</v>
      </c>
      <c r="B26" s="104" t="s">
        <v>213</v>
      </c>
      <c r="C26" s="108" t="b">
        <f t="array" ref="C26">AND(ISBLANK(GroupMember[1. Identifiant interne d’exploitation agricole*])=ISBLANK(GroupMember[13. Nom*]))</f>
        <v>1</v>
      </c>
      <c r="D26" s="104" t="s">
        <v>234</v>
      </c>
      <c r="E26" s="108" t="str">
        <f t="array" ref="E26">IF(ISNA(MATCH(FALSE,(ISBLANK(GroupMember[1. Identifiant interne d’exploitation agricole*])=ISBLANK(GroupMember[13. Nom*])),0)),Translations!$B$12, "M"&amp;MATCH(FALSE,(ISBLANK(GroupMember[1. Identifiant interne d’exploitation agricole*])=ISBLANK(GroupMember[13. Nom*])),0)+2)</f>
        <v>Il n’y a aucune cellule vide.</v>
      </c>
      <c r="F26" s="109" t="str">
        <f t="array" aca="1" ref="F26" ca="1">IF(E26=Translations!$B$12,HYPERLINK("#"&amp;CELL("address"),Translations!$B$8),HYPERLINK("#'1. Group member'!"&amp;E26,Translations!$B$11))</f>
        <v>Non applicable.</v>
      </c>
    </row>
    <row r="27" spans="1:6" s="91" customFormat="1" ht="69">
      <c r="A27" s="101" t="s">
        <v>113</v>
      </c>
      <c r="B27" s="104" t="s">
        <v>214</v>
      </c>
      <c r="C27" s="108" t="b">
        <f t="array" ref="C27">AND(ISBLANK(GroupMember[1. Identifiant interne d’exploitation agricole*])=ISBLANK(GroupMember[14. Numéro de téléphone**]))</f>
        <v>1</v>
      </c>
      <c r="D27" s="104" t="s">
        <v>234</v>
      </c>
      <c r="E27" s="108" t="str">
        <f>IF(ISNA(MATCH(FALSE,(ISBLANK(GroupMember[[#This Row],[1. Identifiant interne d’exploitation agricole*]])=ISBLANK(GroupMember[[#This Row],[2. Identifiant national d’exploitation agricole**]])),0)),Translations!$B$12, "N"&amp;MATCH(FALSE,(ISBLANK(GroupMember[[#This Row],[1. Identifiant interne d’exploitation agricole*]])=ISBLANK(GroupMember[[#This Row],[2. Identifiant national d’exploitation agricole**]])),0)+2)</f>
        <v>Il n’y a aucune cellule vide.</v>
      </c>
      <c r="F27" s="109" t="str">
        <f t="array" aca="1" ref="F27" ca="1">IF(E27=Translations!$B$12,HYPERLINK("#"&amp;CELL("address"),Translations!$B$8),HYPERLINK("#'1. Group member'!"&amp;E27,Translations!$B$11))</f>
        <v>Non applicable.</v>
      </c>
    </row>
    <row r="28" spans="1:6" s="91" customFormat="1" ht="69">
      <c r="A28" s="101" t="s">
        <v>114</v>
      </c>
      <c r="B28" s="104" t="s">
        <v>214</v>
      </c>
      <c r="C28" s="108" t="b">
        <f t="array" ref="C28">AND(ISBLANK(GroupMember[1. Identifiant interne d’exploitation agricole*])=ISBLANK(GroupMember[15. Numéro d’identification national**]))</f>
        <v>1</v>
      </c>
      <c r="D28" s="104" t="s">
        <v>234</v>
      </c>
      <c r="E28" s="108" t="str">
        <f t="array" ref="E28">IF(ISNA(MATCH(FALSE,(ISBLANK(GroupMember[1. Identifiant interne d’exploitation agricole*])=ISBLANK(GroupMember[15. Numéro d’identification national**])),0)),Translations!$B$12, "O"&amp;MATCH(FALSE,(ISBLANK(GroupMember[1. Identifiant interne d’exploitation agricole*])=ISBLANK(GroupMember[15. Numéro d’identification national**])),0)+2)</f>
        <v>Il n’y a aucune cellule vide.</v>
      </c>
      <c r="F28" s="109" t="str">
        <f t="array" aca="1" ref="F28" ca="1">IF(E28=Translations!$B$12,HYPERLINK("#"&amp;CELL("address"),Translations!$B$8),HYPERLINK("#'1. Group member'!"&amp;E28,Translations!$B$11))</f>
        <v>Non applicable.</v>
      </c>
    </row>
    <row r="29" spans="1:6" s="91" customFormat="1" ht="86.25">
      <c r="A29" s="101" t="s">
        <v>115</v>
      </c>
      <c r="B29" s="104" t="s">
        <v>215</v>
      </c>
      <c r="C29" s="108" t="b">
        <f t="array" ref="C29">AND(ISBLANK(GroupMember[1. Identifiant interne d’exploitation agricole*])=ISBLANK(GroupMember[16. Genre*]))</f>
        <v>1</v>
      </c>
      <c r="D29" s="104" t="s">
        <v>234</v>
      </c>
      <c r="E29" s="108" t="str">
        <f t="array" ref="E29">IF(ISNA(MATCH(FALSE,(ISBLANK(GroupMember[1. Identifiant interne d’exploitation agricole*])=ISBLANK(GroupMember[16. Genre*])),0)),Translations!$B$12, "P"&amp;MATCH(FALSE,(ISBLANK(GroupMember[1. Identifiant interne d’exploitation agricole*])=ISBLANK(GroupMember[16. Genre*])),0)+2)</f>
        <v>Il n’y a aucune cellule vide.</v>
      </c>
      <c r="F29" s="109" t="str">
        <f t="array" aca="1" ref="F29" ca="1">IF(E29=Translations!$B$12,HYPERLINK("#"&amp;CELL("address"),Translations!$B$8),HYPERLINK("#'1. Group member'!"&amp;E29,Translations!$B$11))</f>
        <v>Non applicable.</v>
      </c>
    </row>
    <row r="30" spans="1:6" s="91" customFormat="1" ht="86.25">
      <c r="A30" s="101" t="s">
        <v>116</v>
      </c>
      <c r="B30" s="104" t="s">
        <v>216</v>
      </c>
      <c r="C30" s="108" t="b">
        <f t="array" ref="C30">AND(ISBLANK(GroupMember[1. Identifiant interne d’exploitation agricole*])=ISBLANK(GroupMember[17. Année de naissance*]))</f>
        <v>1</v>
      </c>
      <c r="D30" s="104" t="s">
        <v>234</v>
      </c>
      <c r="E30" s="108" t="str">
        <f t="array" ref="E30">IF(ISNA(MATCH(FALSE,(ISBLANK(GroupMember[1. Identifiant interne d’exploitation agricole*])=ISBLANK(GroupMember[17. Année de naissance*])),0)),Translations!$B$12, "Q"&amp;MATCH(FALSE,(ISBLANK(GroupMember[1. Identifiant interne d’exploitation agricole*])=ISBLANK(GroupMember[17. Année de naissance*])),0)+2)</f>
        <v>Il n’y a aucune cellule vide.</v>
      </c>
      <c r="F30" s="109" t="str">
        <f t="array" aca="1" ref="F30" ca="1">IF(E30=Translations!$B$12,HYPERLINK("#"&amp;CELL("address"),Translations!$B$8),HYPERLINK("#'1. Group member'!"&amp;E30,Translations!$B$11))</f>
        <v>Non applicable.</v>
      </c>
    </row>
    <row r="31" spans="1:6" s="91" customFormat="1" ht="51.75">
      <c r="A31" s="101"/>
      <c r="B31" s="104" t="s">
        <v>217</v>
      </c>
      <c r="C31" s="108" t="b">
        <f t="array" ref="C31">AND((GroupMember[17. Année de naissance*]&gt;1899)*(GroupMember[17. Année de naissance*]&lt;2022)+ISBLANK(GroupMember[17. Année de naissance*]))</f>
        <v>0</v>
      </c>
      <c r="D31" s="104" t="s">
        <v>238</v>
      </c>
      <c r="E31" s="108" t="str">
        <f t="array" ref="E31">IF(AND((GroupMember[17. Année de naissance*]&gt;1899)*(GroupMember[17. Année de naissance*]&lt;2022)+ISBLANK(GroupMember[17. Année de naissance*])),Translations!$B$16, "Q"&amp;MATCH(0,(GroupMember[17. Année de naissance*]&gt;1899)*(GroupMember[17. Année de naissance*]&lt;2022)+ISBLANK(GroupMember[17. Année de naissance*]),0)+2)</f>
        <v>Q171</v>
      </c>
      <c r="F31" s="109" t="str">
        <f t="array" aca="1" ref="F31" ca="1">IF(E31=Translations!$B$16,HYPERLINK("#"&amp;CELL("address"),Translations!$B$8),HYPERLINK("#'1. Group member'!"&amp;E31,Translations!$B$17))</f>
        <v>Emplacement de l’année invalide.</v>
      </c>
    </row>
    <row r="32" spans="1:6" s="91" customFormat="1" ht="86.25">
      <c r="A32" s="101" t="s">
        <v>117</v>
      </c>
      <c r="B32" s="104" t="s">
        <v>218</v>
      </c>
      <c r="C32" s="108" t="b">
        <f t="array" ref="C32">AND(ISBLANK(GroupMember[1. Identifiant interne d’exploitation agricole*])=ISBLANK(GroupMember[18. Taille du ménage*]))</f>
        <v>1</v>
      </c>
      <c r="D32" s="104" t="s">
        <v>234</v>
      </c>
      <c r="E32" s="108" t="str">
        <f t="array" ref="E32">IF(ISNA(MATCH(FALSE,(ISBLANK(GroupMember[1. Identifiant interne d’exploitation agricole*])=ISBLANK(GroupMember[18. Taille du ménage*])),0)),Translations!$B$12, "R"&amp;MATCH(FALSE,(ISBLANK(GroupMember[1. Identifiant interne d’exploitation agricole*])=ISBLANK(GroupMember[18. Taille du ménage*])),0)+2)</f>
        <v>Il n’y a aucune cellule vide.</v>
      </c>
      <c r="F32" s="109" t="str">
        <f t="array" aca="1" ref="F32" ca="1">IF(E32=Translations!$B$12,HYPERLINK("#"&amp;CELL("address"),Translations!$B$8),HYPERLINK("#'1. Group member'!"&amp;E32,Translations!$B$11))</f>
        <v>Non applicable.</v>
      </c>
    </row>
    <row r="33" spans="1:6" s="91" customFormat="1" ht="34.5">
      <c r="A33" s="101"/>
      <c r="B33" s="104" t="s">
        <v>219</v>
      </c>
      <c r="C33" s="108" t="b">
        <f t="array" ref="C33">AND((GroupMember[18. Taille du ménage*]&gt;0)+ISBLANK(GroupMember[18. Taille du ménage*]))</f>
        <v>1</v>
      </c>
      <c r="D33" s="104" t="s">
        <v>239</v>
      </c>
      <c r="E33" s="108" t="str">
        <f t="array" ref="E33">IF(AND((GroupMember[18. Taille du ménage*]&gt;0)+ISBLANK(GroupMember[18. Taille du ménage*])),Translations!$B$19, "R"&amp;MATCH(0,(GroupMember[18. Taille du ménage*]&gt;0)+ISBLANK(GroupMember[18. Taille du ménage*]),0)+2)</f>
        <v>Toutes les tailles sont correctes.</v>
      </c>
      <c r="F33" s="109" t="str">
        <f t="array" aca="1" ref="F33" ca="1">IF(E33=Translations!$B$19,HYPERLINK("#"&amp;CELL("address"),Translations!$B$8),HYPERLINK("#'1. Group member'!"&amp;E33,Translations!$B$18))</f>
        <v>Non applicable.</v>
      </c>
    </row>
    <row r="34" spans="1:6" s="91" customFormat="1" ht="17.25">
      <c r="A34" s="101" t="s">
        <v>119</v>
      </c>
      <c r="B34" s="104" t="s">
        <v>220</v>
      </c>
      <c r="C34" s="112"/>
      <c r="D34" s="113"/>
      <c r="E34" s="114"/>
      <c r="F34" s="115"/>
    </row>
    <row r="35" spans="1:6" s="91" customFormat="1" ht="17.25">
      <c r="A35" s="101" t="s">
        <v>120</v>
      </c>
      <c r="B35" s="104" t="s">
        <v>220</v>
      </c>
      <c r="C35" s="112"/>
      <c r="D35" s="113"/>
      <c r="E35" s="114"/>
      <c r="F35" s="115"/>
    </row>
    <row r="36" spans="1:6" s="91" customFormat="1" ht="17.25">
      <c r="A36" s="101" t="s">
        <v>121</v>
      </c>
      <c r="B36" s="104" t="s">
        <v>220</v>
      </c>
      <c r="C36" s="112"/>
      <c r="D36" s="113"/>
      <c r="E36" s="114"/>
      <c r="F36" s="115"/>
    </row>
    <row r="37" spans="1:6" s="91" customFormat="1" ht="17.25">
      <c r="A37" s="101" t="s">
        <v>122</v>
      </c>
      <c r="B37" s="104" t="s">
        <v>220</v>
      </c>
      <c r="C37" s="112"/>
      <c r="D37" s="113"/>
      <c r="E37" s="114"/>
      <c r="F37" s="115"/>
    </row>
    <row r="38" spans="1:6" s="91" customFormat="1" ht="17.25">
      <c r="A38" s="101" t="s">
        <v>123</v>
      </c>
      <c r="B38" s="104" t="s">
        <v>220</v>
      </c>
      <c r="C38" s="112"/>
      <c r="D38" s="113"/>
      <c r="E38" s="114"/>
      <c r="F38" s="115"/>
    </row>
    <row r="39" spans="1:6" s="91" customFormat="1" ht="86.25">
      <c r="A39" s="101" t="s">
        <v>125</v>
      </c>
      <c r="B39" s="104" t="s">
        <v>221</v>
      </c>
      <c r="C39" s="108" t="b">
        <f t="array" ref="C39">AND(ISBLANK(GroupMember[1. Identifiant interne d’exploitation agricole*])=ISBLANK(GroupMember[24. Nombre de travailleurs permanents*]))</f>
        <v>1</v>
      </c>
      <c r="D39" s="104" t="s">
        <v>234</v>
      </c>
      <c r="E39" s="108" t="str">
        <f t="array" ref="E39">IF(ISNA(MATCH(FALSE,(ISBLANK(GroupMember[1. Identifiant interne d’exploitation agricole*])=ISBLANK(GroupMember[24. Nombre de travailleurs permanents*])),0)),Translations!$B$12, "X"&amp;MATCH(FALSE,(ISBLANK(GroupMember[1. Identifiant interne d’exploitation agricole*])=ISBLANK(GroupMember[24. Nombre de travailleurs permanents*])),0)+2)</f>
        <v>Il n’y a aucune cellule vide.</v>
      </c>
      <c r="F39" s="109" t="str">
        <f t="array" aca="1" ref="F39" ca="1">IF(E39=Translations!$B$12,HYPERLINK("#"&amp;CELL("address"),Translations!$B$8),HYPERLINK("#'1. Group member'!"&amp;E39,Translations!$B$11))</f>
        <v>Non applicable.</v>
      </c>
    </row>
    <row r="40" spans="1:6" s="91" customFormat="1" ht="34.5">
      <c r="A40" s="101"/>
      <c r="B40" s="104" t="s">
        <v>222</v>
      </c>
      <c r="C40" s="108" t="b">
        <f t="array" ref="C40">AND(IFERROR(GroupMember[24. Nombre de travailleurs permanents*]+2&gt;1,FALSE)+ISBLANK(GroupMember[24. Nombre de travailleurs permanents*]))</f>
        <v>1</v>
      </c>
      <c r="D40" s="104" t="s">
        <v>240</v>
      </c>
      <c r="E40" s="108" t="str">
        <f t="array" ref="E40">IF(AND(IFERROR(GroupMember[24. Nombre de travailleurs permanents*]+2&gt;1,FALSE)+ISBLANK(GroupMember[24. Nombre de travailleurs permanents*])+ISBLANK(GroupMember[24. Nombre de travailleurs permanents*])),Translations!$B$20, "X"&amp;MATCH(0,IFERROR(GroupMember[24. Nombre de travailleurs permanents*]+2&gt;1,FALSE)+ISBLANK(GroupMember[24. Nombre de travailleurs permanents*])+ISBLANK(GroupMember[24. Nombre de travailleurs permanents*]),0)+2)</f>
        <v>Toutes les valeurs sont correctes.</v>
      </c>
      <c r="F40" s="109" t="str">
        <f ca="1">IF(E40=Translations!$B$20,HYPERLINK("#"&amp;CELL("address"),Translations!$B$8),HYPERLINK("#'1. Group member'!"&amp;E40,Translations!$B$21))</f>
        <v>Non applicable.</v>
      </c>
    </row>
    <row r="41" spans="1:6" s="91" customFormat="1" ht="103.5">
      <c r="A41" s="101" t="s">
        <v>126</v>
      </c>
      <c r="B41" s="104" t="s">
        <v>223</v>
      </c>
      <c r="C41" s="108" t="b">
        <f>AND(ISBLANK(GroupMember[[#This Row],[1. Identifiant interne d’exploitation agricole*]])=ISBLANK(GroupMember[[#This Row],[25. Estimation du nombre de travailleurs temporaires par an*]]))</f>
        <v>1</v>
      </c>
      <c r="D41" s="104" t="s">
        <v>234</v>
      </c>
      <c r="E41" s="108" t="str">
        <f t="array" ref="E41">IF(ISNA(MATCH(FALSE,(ISBLANK(GroupMember[1. Identifiant interne d’exploitation agricole*])=ISBLANK(GroupMember[25. Estimation du nombre de travailleurs temporaires par an*])),0)),Translations!$B$12, "Y"&amp;MATCH(FALSE,(ISBLANK(GroupMember[1. Identifiant interne d’exploitation agricole*])=ISBLANK(GroupMember[25. Estimation du nombre de travailleurs temporaires par an*])),0)+2)</f>
        <v>Il n’y a aucune cellule vide.</v>
      </c>
      <c r="F41" s="109" t="str">
        <f t="array" aca="1" ref="F41" ca="1">IF(E41=Translations!$B$12,HYPERLINK("#"&amp;CELL("address"),Translations!$B$8),HYPERLINK("#'1. Group member'!"&amp;E41,Translations!$B$11))</f>
        <v>Non applicable.</v>
      </c>
    </row>
    <row r="42" spans="1:6" s="91" customFormat="1" ht="51.75">
      <c r="A42" s="101"/>
      <c r="B42" s="104" t="s">
        <v>224</v>
      </c>
      <c r="C42" s="108" t="b">
        <f t="array" ref="C42">AND(IFERROR(GroupMember[25. Estimation du nombre de travailleurs temporaires par an*]+2&gt;1,FALSE)+ISBLANK(GroupMember[25. Estimation du nombre de travailleurs temporaires par an*]))</f>
        <v>1</v>
      </c>
      <c r="D42" s="104" t="s">
        <v>240</v>
      </c>
      <c r="E42" s="108" t="str">
        <f t="array" ref="E42">IF(AND(IFERROR(GroupMember[25. Estimation du nombre de travailleurs temporaires par an*]+2&gt;1,FALSE)+ISBLANK(GroupMember[25. Estimation du nombre de travailleurs temporaires par an*])+ISBLANK(GroupMember[25. Estimation du nombre de travailleurs temporaires par an*])),Translations!$B$20, "Y"&amp;MATCH(0,IFERROR(GroupMember[25. Estimation du nombre de travailleurs temporaires par an*]+2&gt;1,FALSE)+ISBLANK(GroupMember[25. Estimation du nombre de travailleurs temporaires par an*])+ISBLANK(GroupMember[25. Estimation du nombre de travailleurs temporaires par an*]),0)+2)</f>
        <v>Toutes les valeurs sont correctes.</v>
      </c>
      <c r="F42" s="109" t="str">
        <f t="array" aca="1" ref="F42" ca="1">IF(E42=Translations!$B$20,HYPERLINK("#"&amp;CELL("address"),Translations!$B$8),HYPERLINK("#'1. Group member'!"&amp;E42,Translations!B21))</f>
        <v>Non applicable.</v>
      </c>
    </row>
    <row r="43" spans="1:6" s="91" customFormat="1" ht="86.25">
      <c r="A43" s="101" t="s">
        <v>128</v>
      </c>
      <c r="B43" s="104" t="s">
        <v>225</v>
      </c>
      <c r="C43" s="108" t="b">
        <f t="array" ref="C43">AND(ISBLANK(GroupMember[1. Identifiant interne d’exploitation agricole*])=ISBLANK(GroupMember[26. Nom de l’inspecteur interne*]))</f>
        <v>1</v>
      </c>
      <c r="D43" s="104" t="s">
        <v>234</v>
      </c>
      <c r="E43" s="108" t="str">
        <f t="array" ref="E43">IF(ISNA(MATCH(FALSE,(ISBLANK(GroupMember[1. Identifiant interne d’exploitation agricole*])=ISBLANK(GroupMember[26. Nom de l’inspecteur interne*])),0)),Translations!$B$12, "Z"&amp;MATCH(FALSE,(ISBLANK(GroupMember[1. Identifiant interne d’exploitation agricole*])=ISBLANK(GroupMember[26. Nom de l’inspecteur interne*])),0)+2)</f>
        <v>Il n’y a aucune cellule vide.</v>
      </c>
      <c r="F43" s="109" t="str">
        <f t="array" aca="1" ref="F43" ca="1">IF(E43=Translations!$B$12,HYPERLINK("#"&amp;CELL("address"),Translations!$B$8),HYPERLINK("#'1. Group member'!"&amp;E43,Translations!$B$11))</f>
        <v>Non applicable.</v>
      </c>
    </row>
    <row r="44" spans="1:6" s="91" customFormat="1" ht="86.25">
      <c r="A44" s="101" t="s">
        <v>129</v>
      </c>
      <c r="B44" s="104" t="s">
        <v>226</v>
      </c>
      <c r="C44" s="108" t="b">
        <f t="array" ref="C44">AND(ISBLANK(GroupMember[1. Identifiant interne d’exploitation agricole*])=ISBLANK(GroupMember[27. Année de l’inspection interne*]))</f>
        <v>1</v>
      </c>
      <c r="D44" s="104" t="s">
        <v>234</v>
      </c>
      <c r="E44" s="108" t="str">
        <f t="array" ref="E44">IF(ISNA(MATCH(FALSE,(ISBLANK(GroupMember[1. Identifiant interne d’exploitation agricole*])=ISBLANK(GroupMember[27. Année de l’inspection interne*])),0)),Translations!$B$12, "AA"&amp;MATCH(FALSE,(ISBLANK(GroupMember[1. Identifiant interne d’exploitation agricole*])=ISBLANK(GroupMember[27. Année de l’inspection interne*])),0)+2)</f>
        <v>Il n’y a aucune cellule vide.</v>
      </c>
      <c r="F44" s="109" t="str">
        <f t="array" aca="1" ref="F44" ca="1">IF(E44=Translations!$B$12,HYPERLINK("#"&amp;CELL("address"),Translations!$B$8),HYPERLINK("#'1. Group member'!"&amp;E44,Translations!$B$11))</f>
        <v>Non applicable.</v>
      </c>
    </row>
    <row r="45" spans="1:6" s="91" customFormat="1" ht="34.5">
      <c r="A45" s="101"/>
      <c r="B45" s="104" t="s">
        <v>227</v>
      </c>
      <c r="C45" s="108" t="b">
        <f t="array" ref="C45">AND((GroupMember[27. Année de l’inspection interne*]&gt;2020)*(GroupMember[27. Année de l’inspection interne*]&lt;9999)+ISBLANK(GroupMember[27. Année de l’inspection interne*]))</f>
        <v>1</v>
      </c>
      <c r="D45" s="104" t="s">
        <v>241</v>
      </c>
      <c r="E45" s="108" t="str">
        <f t="array" ref="E45">IF(AND((GroupMember[27. Année de l’inspection interne*]&gt;2020)*(GroupMember[27. Année de l’inspection interne*]&lt;9999)+ISBLANK(GroupMember[27. Année de l’inspection interne*])),Translations!$B$20, "AA"&amp;MATCH(0,(GroupMember[27. Année de l’inspection interne*]&gt;2020)*(GroupMember[27. Année de l’inspection interne*]&lt;9999)+ISBLANK(GroupMember[27. Année de l’inspection interne*]),0)+2)</f>
        <v>Toutes les valeurs sont correctes.</v>
      </c>
      <c r="F45" s="109" t="str">
        <f t="array" aca="1" ref="F45" ca="1">IF(E45=Translations!$B$20,HYPERLINK("#"&amp;CELL("address"),Translations!$B$8),HYPERLINK("#'1. Group member'!"&amp;E45,Translations!$B$21))</f>
        <v>Non applicable.</v>
      </c>
    </row>
    <row r="46" spans="1:6" s="91" customFormat="1" ht="86.25">
      <c r="A46" s="101" t="s">
        <v>130</v>
      </c>
      <c r="B46" s="104" t="s">
        <v>228</v>
      </c>
      <c r="C46" s="108" t="b">
        <f t="array" ref="C46">AND(ISBLANK(GroupMember[1. Identifiant interne d’exploitation agricole*])=ISBLANK(GroupMember[28. Mois de l’inspection interne*]))</f>
        <v>1</v>
      </c>
      <c r="D46" s="104" t="s">
        <v>234</v>
      </c>
      <c r="E46" s="108" t="str">
        <f t="array" ref="E46">IF(ISNA(MATCH(FALSE,(ISBLANK(GroupMember[1. Identifiant interne d’exploitation agricole*])=ISBLANK(GroupMember[28. Mois de l’inspection interne*])),0)),Translations!$B$12, "AB"&amp;MATCH(FALSE,(ISBLANK(GroupMember[1. Identifiant interne d’exploitation agricole*])=ISBLANK(GroupMember[28. Mois de l’inspection interne*])),0)+2)</f>
        <v>Il n’y a aucune cellule vide.</v>
      </c>
      <c r="F46" s="109" t="str">
        <f t="array" aca="1" ref="F46" ca="1">IF(E46=Translations!$B$12,HYPERLINK("#"&amp;CELL("address"),Translations!$B$8),HYPERLINK("#'1. Group member'!"&amp;E46,Translations!$B$11))</f>
        <v>Non applicable.</v>
      </c>
    </row>
    <row r="47" spans="1:6" s="91" customFormat="1" ht="34.5">
      <c r="A47" s="101"/>
      <c r="B47" s="104" t="s">
        <v>229</v>
      </c>
      <c r="C47" s="108" t="b">
        <f t="array" ref="C47">AND(IFERROR(GroupMember[28. Mois de l’inspection interne*]+1&gt;1,FALSE)*(GroupMember[28. Mois de l’inspection interne*]&lt;13)+ISBLANK(GroupMember[28. Mois de l’inspection interne*]))</f>
        <v>1</v>
      </c>
      <c r="D47" s="104" t="s">
        <v>242</v>
      </c>
      <c r="E47" s="108" t="str">
        <f t="array" ref="E47">IF(AND(IFERROR(GroupMember[28. Mois de l’inspection interne*]+1&gt;1,FALSE)*(GroupMember[28. Mois de l’inspection interne*]&lt;13)+ISBLANK(GroupMember[28. Mois de l’inspection interne*])),Translations!$B$20, "AB"&amp;MATCH(0,IFERROR(GroupMember[28. Mois de l’inspection interne*]+1&gt;1,FALSE)*(GroupMember[28. Mois de l’inspection interne*]&lt;13)+ISBLANK(GroupMember[28. Mois de l’inspection interne*]),0)+2)</f>
        <v>Toutes les valeurs sont correctes.</v>
      </c>
      <c r="F47" s="109" t="str">
        <f t="array" aca="1" ref="F47" ca="1">IF(E47=Translations!$B$20,HYPERLINK("#"&amp;CELL("address"),Translations!$B$8),HYPERLINK("#'1. Group member'!"&amp;E47,Translations!$B$21))</f>
        <v>Non applicable.</v>
      </c>
    </row>
    <row r="48" spans="1:6" s="91" customFormat="1" ht="86.25">
      <c r="A48" s="101" t="s">
        <v>131</v>
      </c>
      <c r="B48" s="104" t="s">
        <v>230</v>
      </c>
      <c r="C48" s="104" t="b">
        <f t="array" ref="C48">AND(ISBLANK(GroupMember[1. Identifiant interne d’exploitation agricole*])=ISBLANK(GroupMember[29. Jour de l’inspection interne*]))</f>
        <v>1</v>
      </c>
      <c r="D48" s="104" t="s">
        <v>234</v>
      </c>
      <c r="E48" s="108" t="str">
        <f t="array" ref="E48">IF(ISNA(MATCH(FALSE,(ISBLANK(GroupMember[1. Identifiant interne d’exploitation agricole*])=ISBLANK(GroupMember[29. Jour de l’inspection interne*])),0)),Translations!$B$12, "AC"&amp;MATCH(FALSE,(ISBLANK(GroupMember[1. Identifiant interne d’exploitation agricole*])=ISBLANK(GroupMember[29. Jour de l’inspection interne*])),0)+2)</f>
        <v>Il n’y a aucune cellule vide.</v>
      </c>
      <c r="F48" s="109" t="str">
        <f t="array" aca="1" ref="F48" ca="1">IF(E48=Translations!$B$12,HYPERLINK("#"&amp;CELL("address"),Translations!$B$8),HYPERLINK("#'1. Group member'!"&amp;E48,Translations!$B$11))</f>
        <v>Non applicable.</v>
      </c>
    </row>
    <row r="49" spans="1:6" s="91" customFormat="1" ht="51.75">
      <c r="A49" s="101"/>
      <c r="B49" s="104" t="s">
        <v>231</v>
      </c>
      <c r="C49" s="108" t="b">
        <f t="array" ref="C49">AND(IFERROR(GroupMember[29. Jour de l’inspection interne*]+1&gt;1,FALSE)*(GroupMember[29. Jour de l’inspection interne*]&lt;32)+ISBLANK(GroupMember[29. Jour de l’inspection interne*]))</f>
        <v>1</v>
      </c>
      <c r="D49" s="104" t="s">
        <v>243</v>
      </c>
      <c r="E49" s="108" t="str">
        <f t="array" ref="E49">IF(AND(IFERROR(GroupMember[29. Jour de l’inspection interne*]+1&gt;1,FALSE)*(GroupMember[29. Jour de l’inspection interne*]&lt;32)+ISBLANK(GroupMember[29. Jour de l’inspection interne*])),Translations!$B$20, "AC"&amp;MATCH(0,IFERROR(GroupMember[29. Jour de l’inspection interne*]+1&gt;1,FALSE)*(GroupMember[29. Jour de l’inspection interne*]&lt;32)+ISBLANK(GroupMember[29. Jour de l’inspection interne*]),0)+2)</f>
        <v>Toutes les valeurs sont correctes.</v>
      </c>
      <c r="F49" s="109" t="str">
        <f t="array" aca="1" ref="F49" ca="1">IF(E49=Translations!$B$20,HYPERLINK("#"&amp;CELL("address"),Translations!$B$8),HYPERLINK("#'1. Group member'!"&amp;E49,Translations!$B$21))</f>
        <v>Non applicable.</v>
      </c>
    </row>
    <row r="50" spans="1:6" s="11" customFormat="1">
      <c r="A50" s="21"/>
      <c r="B50" s="21"/>
      <c r="C50" s="54"/>
      <c r="D50" s="21"/>
      <c r="E50" s="49"/>
    </row>
    <row r="51" spans="1:6" s="11" customFormat="1" ht="18.75">
      <c r="A51" s="18" t="s">
        <v>9</v>
      </c>
      <c r="B51" s="21"/>
      <c r="C51" s="54"/>
      <c r="D51" s="21"/>
      <c r="E51" s="49"/>
    </row>
    <row r="52" spans="1:6" s="11" customFormat="1" ht="30">
      <c r="A52" s="17" t="s">
        <v>244</v>
      </c>
      <c r="B52" s="17" t="s">
        <v>191</v>
      </c>
      <c r="C52" s="53" t="s">
        <v>192</v>
      </c>
      <c r="D52" s="17" t="s">
        <v>193</v>
      </c>
      <c r="E52" s="48" t="s">
        <v>194</v>
      </c>
      <c r="F52" s="17" t="s">
        <v>195</v>
      </c>
    </row>
    <row r="53" spans="1:6" s="91" customFormat="1" ht="69">
      <c r="A53" s="116" t="s">
        <v>245</v>
      </c>
      <c r="B53" s="102" t="s">
        <v>197</v>
      </c>
      <c r="C53" s="103">
        <f>SUMPRODUCT((CertifiedCrop[1. Identifiant interne d’exploitation agricole*]&lt;&gt;"")/COUNTIF(CertifiedCrop[1. Identifiant interne d’exploitation agricole*],CertifiedCrop[1. Identifiant interne d’exploitation agricole*]&amp;""))</f>
        <v>305</v>
      </c>
      <c r="D53" s="104" t="s">
        <v>232</v>
      </c>
      <c r="E53" s="105"/>
      <c r="F53" s="106"/>
    </row>
    <row r="54" spans="1:6" s="91" customFormat="1" ht="86.25">
      <c r="A54" s="116"/>
      <c r="B54" s="117" t="s">
        <v>254</v>
      </c>
      <c r="C54" s="118" t="b">
        <f>AND(CertifiedCrop[1. Identifiant interne de l’exploitation agricole présent sur la feuille 1. Membre du groupe])</f>
        <v>1</v>
      </c>
      <c r="D54" s="117" t="s">
        <v>264</v>
      </c>
      <c r="E54" s="119" t="str">
        <f>IF(ISNA(MATCH(FALSE,CertifiedCrop[1. Identifiant interne de l’exploitation agricole présent sur la feuille 1. Membre du groupe],0)),Translations!$B$22, "J"&amp;MATCH(FALSE,CertifiedCrop[1. Identifiant interne de l’exploitation agricole présent sur la feuille 1. Membre du groupe],0)+2)</f>
        <v>Chaque identifiant interne de membre du groupe est présent.</v>
      </c>
      <c r="F54" s="120" t="str">
        <f ca="1">IF(E54=Translations!$B$22,HYPERLINK("#"&amp;CELL("address"),Translations!$B$8),HYPERLINK("#'2. Certified crop'!"&amp;E54,Translations!$B$23))</f>
        <v>Non applicable.</v>
      </c>
    </row>
    <row r="55" spans="1:6" s="91" customFormat="1" ht="86.25">
      <c r="A55" s="116"/>
      <c r="B55" s="117" t="s">
        <v>255</v>
      </c>
      <c r="C55" s="118" t="b">
        <f t="array" ref="C55">AND(GroupMember[1. Identifiant interne de membre du groupe présent sur la feuille 2. Produit agricole certifié])</f>
        <v>1</v>
      </c>
      <c r="D55" s="117" t="s">
        <v>265</v>
      </c>
      <c r="E55" s="119" t="str">
        <f t="array" ref="E55">IF(ISNA(MATCH(FALSE,GroupMember[1. Identifiant interne de membre du groupe présent sur la feuille 2. Produit agricole certifié],0)),Translations!$B$22, "J"&amp;MATCH(FALSE,GroupMember[1. Identifiant interne de membre du groupe présent sur la feuille 2. Produit agricole certifié],0)+2)</f>
        <v>Chaque identifiant interne de membre du groupe est présent.</v>
      </c>
      <c r="F55" s="120" t="str">
        <f ca="1">IF(E55=Translations!$B$22,HYPERLINK("#"&amp;CELL("address"),Translations!$B$8),HYPERLINK("#'2. Certified crop'!"&amp;E55,Translations!$B$23))</f>
        <v>Non applicable.</v>
      </c>
    </row>
    <row r="56" spans="1:6" s="91" customFormat="1" ht="86.25">
      <c r="A56" s="116" t="s">
        <v>143</v>
      </c>
      <c r="B56" s="104" t="s">
        <v>256</v>
      </c>
      <c r="C56" s="108" t="b">
        <f t="array" ref="C56">AND(ISBLANK(CertifiedCrop[1. Identifiant interne d’exploitation agricole*])=ISBLANK(CertifiedCrop[2. Produit agricole certifié*]))</f>
        <v>1</v>
      </c>
      <c r="D56" s="104" t="s">
        <v>234</v>
      </c>
      <c r="E56" s="108" t="str">
        <f t="array" ref="E56">IF(ISNA(MATCH(FALSE,(ISBLANK(CertifiedCrop[1. Identifiant interne d’exploitation agricole*])=ISBLANK(CertifiedCrop[2. Produit agricole certifié*])),0)),Translations!$B$12, "C"&amp;MATCH(FALSE,(ISBLANK(CertifiedCrop[1. Identifiant interne d’exploitation agricole*])=ISBLANK(CertifiedCrop[2. Produit agricole certifié*])),0)+2)</f>
        <v>Il n’y a aucune cellule vide.</v>
      </c>
      <c r="F56" s="109" t="str">
        <f t="array" aca="1" ref="F56" ca="1">IF(E56=Translations!$B$12,HYPERLINK("#"&amp;CELL("address"),Translations!$B$8),HYPERLINK("#'2. Certified crop'!"&amp;E56,Translations!$B$11))</f>
        <v>Non applicable.</v>
      </c>
    </row>
    <row r="57" spans="1:6" s="91" customFormat="1" ht="120.75">
      <c r="A57" s="116" t="s">
        <v>144</v>
      </c>
      <c r="B57" s="117" t="s">
        <v>257</v>
      </c>
      <c r="C57" s="118" t="b">
        <f t="array" ref="C57">AND(CertifiedCrop[2. Produit agricole certifié et 3. La combinaison de variétés est présente sur la liste des produits agricoles de la feuille.])</f>
        <v>0</v>
      </c>
      <c r="D57" s="102" t="s">
        <v>266</v>
      </c>
      <c r="E57" s="119" t="str">
        <f t="array" ref="E57">IF(ISNA(MATCH(FALSE,CertifiedCrop[2. Produit agricole certifié et 3. La combinaison de variétés est présente sur la liste des produits agricoles de la feuille.],0)),Translations!$B$24, "B"&amp;MATCH(FALSE,CertifiedCrop[2. Produit agricole certifié et 3. La combinaison de variétés est présente sur la liste des produits agricoles de la feuille.],0)+2)</f>
        <v>B3</v>
      </c>
      <c r="F57" s="120" t="str">
        <f ca="1">IF(E57=Translations!$B$24,HYPERLINK("#"&amp;CELL("address"),Translations!$B$8),HYPERLINK("#'2. Certified crop'!"&amp;E57,Translations!$B$25))</f>
        <v>Emplacement de la combinaison de produits agricoles et de variétés invalide.</v>
      </c>
    </row>
    <row r="58" spans="1:6" s="91" customFormat="1" ht="103.5">
      <c r="A58" s="116" t="s">
        <v>145</v>
      </c>
      <c r="B58" s="104" t="s">
        <v>258</v>
      </c>
      <c r="C58" s="108" t="b">
        <f t="array" ref="C58">AND(ISBLANK(CertifiedCrop[1. Identifiant interne d’exploitation agricole*])=ISBLANK(#REF!))</f>
        <v>1</v>
      </c>
      <c r="D58" s="104" t="s">
        <v>234</v>
      </c>
      <c r="E58" s="108" t="str">
        <f t="array" ref="E58">IF(ISNA(MATCH(FALSE,(ISBLANK(CertifiedCrop[1. Identifiant interne d’exploitation agricole*])=ISBLANK(#REF!)),0)),Translations!$B$12, "D"&amp;MATCH(FALSE,(ISBLANK(CertifiedCrop[1. Identifiant interne d’exploitation agricole*])=ISBLANK(#REF!)),0)+2)</f>
        <v>Il n’y a aucune cellule vide.</v>
      </c>
      <c r="F58" s="109" t="str">
        <f t="array" aca="1" ref="F58" ca="1">IF(E58=Translations!$B$12,HYPERLINK("#"&amp;CELL("address"),Translations!$B$8),HYPERLINK("#'2. Certified crop'!"&amp;E58,Translations!$B$11))</f>
        <v>Non applicable.</v>
      </c>
    </row>
    <row r="59" spans="1:6" s="91" customFormat="1" ht="34.5">
      <c r="A59" s="116"/>
      <c r="B59" s="104" t="s">
        <v>206</v>
      </c>
      <c r="C59" s="108" t="b">
        <f t="array" ref="C59">AND(ISNUMBER(#REF!)+ISBLANK(#REF!))</f>
        <v>0</v>
      </c>
      <c r="D59" s="104" t="s">
        <v>235</v>
      </c>
      <c r="E59" s="108" t="e">
        <f t="array" ref="E59">IF(AND(ISNUMBER(#REF!)+ISBLANK(#REF!)),Translations!$B$13, "D"&amp;MATCH(0,(ISNUMBER(#REF!)+ISBLANK(#REF!)),0)+2)</f>
        <v>#N/A</v>
      </c>
      <c r="F59" s="109" t="e">
        <f ca="1">IF(E59=Translations!$B$13,HYPERLINK("#"&amp;CELL("address"),Translations!$B$8),HYPERLINK("#'2. Certified crop'!"&amp;E59,Translations!$B$11))</f>
        <v>#N/A</v>
      </c>
    </row>
    <row r="60" spans="1:6" s="91" customFormat="1" ht="103.5">
      <c r="A60" s="116" t="s">
        <v>146</v>
      </c>
      <c r="B60" s="104" t="s">
        <v>259</v>
      </c>
      <c r="C60" s="108" t="b">
        <f t="array" ref="C60">AND(ISBLANK(CertifiedCrop[1. Identifiant interne d’exploitation agricole*])=ISBLANK(#REF!))</f>
        <v>1</v>
      </c>
      <c r="D60" s="104" t="s">
        <v>234</v>
      </c>
      <c r="E60" s="108" t="str">
        <f t="array" ref="E60">IF(ISNA(MATCH(FALSE,(ISBLANK(CertifiedCrop[1. Identifiant interne d’exploitation agricole*])=ISBLANK(#REF!)),0)),Translations!$B$12, "D"&amp;MATCH(FALSE,(ISBLANK(CertifiedCrop[1. Identifiant interne d’exploitation agricole*])=ISBLANK(#REF!)),0)+2)</f>
        <v>Il n’y a aucune cellule vide.</v>
      </c>
      <c r="F60" s="109" t="str">
        <f t="array" aca="1" ref="F60" ca="1">IF(E60=Translations!$B$12,HYPERLINK("#"&amp;CELL("address"),Translations!$B$8),HYPERLINK("#'2. Certified crop'!"&amp;E60,Translations!$B$11))</f>
        <v>Non applicable.</v>
      </c>
    </row>
    <row r="61" spans="1:6" s="91" customFormat="1" ht="34.5">
      <c r="A61" s="116"/>
      <c r="B61" s="104" t="s">
        <v>206</v>
      </c>
      <c r="C61" s="108" t="b">
        <f t="array" ref="C61">AND(ISNUMBER(#REF!)+ISBLANK(#REF!))</f>
        <v>0</v>
      </c>
      <c r="D61" s="104" t="s">
        <v>235</v>
      </c>
      <c r="E61" s="108" t="e">
        <f t="array" ref="E61">IF(AND(ISNUMBER(#REF!)+ISBLANK(#REF!)),Translations!$B$13, "D"&amp;MATCH(0,(ISNUMBER(#REF!)+ISBLANK(#REF!)),0)+2)</f>
        <v>#N/A</v>
      </c>
      <c r="F61" s="109" t="e">
        <f t="array" aca="1" ref="F61" ca="1">IF(E61=Translations!$B$13,HYPERLINK("#"&amp;CELL("address"),Translations!$B$8),HYPERLINK("#'2. Certified crop'!"&amp;E61,Translations!$B$11))</f>
        <v>#N/A</v>
      </c>
    </row>
    <row r="62" spans="1:6" s="91" customFormat="1" ht="103.5">
      <c r="A62" s="116" t="s">
        <v>147</v>
      </c>
      <c r="B62" s="104" t="s">
        <v>260</v>
      </c>
      <c r="C62" s="108" t="b">
        <f t="array" ref="C62">AND(ISBLANK(CertifiedCrop[1. Identifiant interne d’exploitation agricole*])=ISBLANK(#REF!))</f>
        <v>1</v>
      </c>
      <c r="D62" s="104" t="s">
        <v>234</v>
      </c>
      <c r="E62" s="108" t="str">
        <f t="array" ref="E62">IF(ISNA(MATCH(FALSE,(ISBLANK(CertifiedCrop[1. Identifiant interne d’exploitation agricole*])=ISBLANK(#REF!)),0)),Translations!$B$12, "D"&amp;MATCH(FALSE,(ISBLANK(CertifiedCrop[1. Identifiant interne d’exploitation agricole*])=ISBLANK(#REF!)),0)+2)</f>
        <v>Il n’y a aucune cellule vide.</v>
      </c>
      <c r="F62" s="109" t="str">
        <f t="array" aca="1" ref="F62" ca="1">IF(E62=Translations!$B$12,HYPERLINK("#"&amp;CELL("address"),Translations!$B$8),HYPERLINK("#'2. Certified crop'!"&amp;E62,Translations!$B$11))</f>
        <v>Non applicable.</v>
      </c>
    </row>
    <row r="63" spans="1:6" s="91" customFormat="1" ht="34.5">
      <c r="A63" s="116"/>
      <c r="B63" s="104" t="s">
        <v>206</v>
      </c>
      <c r="C63" s="108" t="b">
        <f t="array" ref="C63">AND(ISNUMBER(#REF!)+ISBLANK(#REF!))</f>
        <v>0</v>
      </c>
      <c r="D63" s="104" t="s">
        <v>235</v>
      </c>
      <c r="E63" s="108" t="e">
        <f t="array" ref="E63">IF(AND(ISNUMBER(#REF!)+ISBLANK(#REF!)),Translations!$B$13, "D"&amp;MATCH(0,(ISNUMBER(#REF!)+ISBLANK(#REF!)),0)+2)</f>
        <v>#N/A</v>
      </c>
      <c r="F63" s="109" t="e">
        <f ca="1">IF(E63=Translations!$B$13,HYPERLINK("#"&amp;CELL("address"),Translations!$B$8),HYPERLINK("#'2. Certified crop'!"&amp;E63,Translations!$B$11))</f>
        <v>#N/A</v>
      </c>
    </row>
    <row r="64" spans="1:6" s="91" customFormat="1" ht="103.5">
      <c r="A64" s="116" t="s">
        <v>148</v>
      </c>
      <c r="B64" s="104" t="s">
        <v>261</v>
      </c>
      <c r="C64" s="108" t="b">
        <f t="array" ref="C64">AND(ISBLANK(CertifiedCrop[1. Identifiant interne d’exploitation agricole*])=ISBLANK(#REF!))</f>
        <v>1</v>
      </c>
      <c r="D64" s="104" t="s">
        <v>234</v>
      </c>
      <c r="E64" s="108" t="str">
        <f t="array" ref="E64">IF(ISNA(MATCH(FALSE,(ISBLANK(CertifiedCrop[1. Identifiant interne d’exploitation agricole*])=ISBLANK(#REF!)),0)),Translations!$B$12, "D"&amp;MATCH(FALSE,(ISBLANK(CertifiedCrop[1. Identifiant interne d’exploitation agricole*])=ISBLANK(#REF!)),0)+2)</f>
        <v>Il n’y a aucune cellule vide.</v>
      </c>
      <c r="F64" s="109" t="str">
        <f t="array" aca="1" ref="F64" ca="1">IF(E64=Translations!$B$12,HYPERLINK("#"&amp;CELL("address"),Translations!$B$8),HYPERLINK("#'2. Certified crop'!"&amp;E64,Translations!$B$11))</f>
        <v>Non applicable.</v>
      </c>
    </row>
    <row r="65" spans="1:6" s="91" customFormat="1" ht="34.5">
      <c r="A65" s="116"/>
      <c r="B65" s="104" t="s">
        <v>206</v>
      </c>
      <c r="C65" s="108" t="b">
        <f t="array" ref="C65">AND(ISNUMBER(#REF!)+ISBLANK(#REF!))</f>
        <v>0</v>
      </c>
      <c r="D65" s="104" t="s">
        <v>235</v>
      </c>
      <c r="E65" s="108" t="e">
        <f t="array" ref="E65">IF(AND(ISNUMBER(#REF!)+ISBLANK(#REF!)),Translations!$B$13, "D"&amp;MATCH(0,(ISNUMBER(#REF!)+ISBLANK(#REF!)),0)+2)</f>
        <v>#N/A</v>
      </c>
      <c r="F65" s="109" t="e">
        <f t="array" aca="1" ref="F65" ca="1">IF(E65=Translations!$B$13,HYPERLINK("#"&amp;CELL("address"),Translations!$B$8),HYPERLINK("#'2. Certified crop'!"&amp;E65,Translations!$B$11))</f>
        <v>#N/A</v>
      </c>
    </row>
    <row r="66" spans="1:6" s="91" customFormat="1" ht="69">
      <c r="A66" s="116" t="s">
        <v>149</v>
      </c>
      <c r="B66" s="104" t="s">
        <v>214</v>
      </c>
      <c r="C66" s="108" t="b">
        <f t="array" ref="C66">AND(ISBLANK(CertifiedCrop[1. Identifiant interne d’exploitation agricole*])=ISBLANK(#REF!))</f>
        <v>1</v>
      </c>
      <c r="D66" s="104" t="s">
        <v>234</v>
      </c>
      <c r="E66" s="108" t="str">
        <f t="array" ref="E66">IF(ISNA(MATCH(FALSE,(ISBLANK(CertifiedCrop[1. Identifiant interne d’exploitation agricole*])=ISBLANK(#REF!)),0)),Translations!$B$12, "D"&amp;MATCH(FALSE,(ISBLANK(CertifiedCrop[1. Identifiant interne d’exploitation agricole*])=ISBLANK(#REF!)),0)+2)</f>
        <v>Il n’y a aucune cellule vide.</v>
      </c>
      <c r="F66" s="109" t="str">
        <f t="array" aca="1" ref="F66" ca="1">IF(E66=Translations!$B$12,HYPERLINK("#"&amp;CELL("address"),Translations!$B$8),HYPERLINK("#'2. Certified crop'!"&amp;E66,Translations!$B$11))</f>
        <v>Non applicable.</v>
      </c>
    </row>
    <row r="67" spans="1:6" s="91" customFormat="1" ht="69">
      <c r="A67" s="116" t="s">
        <v>150</v>
      </c>
      <c r="B67" s="104" t="s">
        <v>214</v>
      </c>
      <c r="C67" s="108" t="b">
        <f t="array" ref="C67">AND(ISBLANK(CertifiedCrop[1. Identifiant interne d’exploitation agricole*])=ISBLANK(#REF!))</f>
        <v>1</v>
      </c>
      <c r="D67" s="104" t="s">
        <v>234</v>
      </c>
      <c r="E67" s="108" t="str">
        <f t="array" ref="E67">IF(ISNA(MATCH(FALSE,(ISBLANK(CertifiedCrop[1. Identifiant interne d’exploitation agricole*])=ISBLANK(#REF!)),0)),Translations!$B$12, "D"&amp;MATCH(FALSE,(ISBLANK(CertifiedCrop[1. Identifiant interne d’exploitation agricole*])=ISBLANK(#REF!)),0)+2)</f>
        <v>Il n’y a aucune cellule vide.</v>
      </c>
      <c r="F67" s="109" t="str">
        <f t="array" aca="1" ref="F67" ca="1">IF(E67=Translations!$B$12,HYPERLINK("#"&amp;CELL("address"),Translations!$B$8),HYPERLINK("#'2. Certified crop'!"&amp;E67,Translations!$B$11))</f>
        <v>Non applicable.</v>
      </c>
    </row>
    <row r="68" spans="1:6" s="91" customFormat="1" ht="51.75">
      <c r="A68" s="116" t="s">
        <v>246</v>
      </c>
      <c r="B68" s="117" t="s">
        <v>262</v>
      </c>
      <c r="C68" s="121">
        <f>COUNTA('2. Produit agricole certifié'!$E$3:$E$50)</f>
        <v>48</v>
      </c>
      <c r="D68" s="102" t="s">
        <v>267</v>
      </c>
      <c r="E68" s="122"/>
      <c r="F68" s="123"/>
    </row>
    <row r="69" spans="1:6" s="124" customFormat="1" ht="34.5">
      <c r="A69" s="116" t="s">
        <v>247</v>
      </c>
      <c r="B69" s="117" t="s">
        <v>262</v>
      </c>
      <c r="C69" s="121">
        <f>SUM('2. Produit agricole certifié'!D:D)</f>
        <v>788.49144999999999</v>
      </c>
      <c r="D69" s="102" t="s">
        <v>268</v>
      </c>
      <c r="E69" s="122"/>
      <c r="F69" s="123"/>
    </row>
    <row r="70" spans="1:6" s="124" customFormat="1" ht="51.75">
      <c r="A70" s="116" t="s">
        <v>248</v>
      </c>
      <c r="B70" s="117" t="s">
        <v>262</v>
      </c>
      <c r="C70" s="121">
        <f>SUM('2. Produit agricole certifié'!E:E)</f>
        <v>395588.61365792272</v>
      </c>
      <c r="D70" s="102" t="s">
        <v>269</v>
      </c>
      <c r="E70" s="122"/>
      <c r="F70" s="123"/>
    </row>
    <row r="71" spans="1:6" s="124" customFormat="1" ht="51.75">
      <c r="A71" s="116" t="s">
        <v>249</v>
      </c>
      <c r="B71" s="117" t="s">
        <v>262</v>
      </c>
      <c r="C71" s="121">
        <f>SUM('2. Produit agricole certifié'!F:F)</f>
        <v>465354.21901411907</v>
      </c>
      <c r="D71" s="102" t="s">
        <v>270</v>
      </c>
      <c r="E71" s="122"/>
      <c r="F71" s="123"/>
    </row>
    <row r="72" spans="1:6" s="124" customFormat="1" ht="51.75">
      <c r="A72" s="116" t="s">
        <v>250</v>
      </c>
      <c r="B72" s="117" t="s">
        <v>262</v>
      </c>
      <c r="C72" s="121">
        <f>SUM('2. Produit agricole certifié'!G:G)</f>
        <v>0</v>
      </c>
      <c r="D72" s="102" t="s">
        <v>271</v>
      </c>
      <c r="E72" s="122"/>
      <c r="F72" s="123"/>
    </row>
    <row r="73" spans="1:6" s="124" customFormat="1" ht="34.5">
      <c r="A73" s="116" t="s">
        <v>251</v>
      </c>
      <c r="B73" s="117" t="s">
        <v>263</v>
      </c>
      <c r="C73" s="101">
        <f>COUNTIF('2. Produit agricole certifié'!L:L,"!")</f>
        <v>0</v>
      </c>
      <c r="D73" s="102" t="s">
        <v>272</v>
      </c>
      <c r="E73" s="122"/>
      <c r="F73" s="123"/>
    </row>
    <row r="74" spans="1:6" s="124" customFormat="1" ht="34.5">
      <c r="A74" s="116" t="s">
        <v>252</v>
      </c>
      <c r="B74" s="117" t="s">
        <v>262</v>
      </c>
      <c r="C74" s="125">
        <f>AVERAGE('2. Produit agricole certifié'!O:O)</f>
        <v>510.7503360648729</v>
      </c>
      <c r="D74" s="102" t="s">
        <v>273</v>
      </c>
      <c r="E74" s="122"/>
      <c r="F74" s="123"/>
    </row>
    <row r="75" spans="1:6" s="124" customFormat="1" ht="51.75">
      <c r="A75" s="116" t="s">
        <v>253</v>
      </c>
      <c r="B75" s="117" t="s">
        <v>262</v>
      </c>
      <c r="C75" s="125">
        <f>AVERAGE('2. Produit agricole certifié'!P:P)</f>
        <v>593.86861141752524</v>
      </c>
      <c r="D75" s="102" t="s">
        <v>274</v>
      </c>
      <c r="E75" s="122"/>
      <c r="F75" s="123"/>
    </row>
    <row r="76" spans="1:6">
      <c r="A76" s="21"/>
      <c r="B76" s="21"/>
      <c r="C76" s="54"/>
      <c r="D76" s="21"/>
      <c r="F76" s="21"/>
    </row>
    <row r="77" spans="1:6">
      <c r="A77" s="14"/>
      <c r="B77" s="14"/>
      <c r="C77" s="55"/>
      <c r="D77" s="14"/>
      <c r="E77" s="50"/>
    </row>
    <row r="78" spans="1:6" ht="18.75">
      <c r="A78" s="18" t="s">
        <v>10</v>
      </c>
      <c r="B78" s="21"/>
      <c r="C78" s="54"/>
      <c r="D78" s="21"/>
      <c r="E78" s="49"/>
    </row>
    <row r="79" spans="1:6" ht="30">
      <c r="A79" s="17" t="s">
        <v>244</v>
      </c>
      <c r="B79" s="17" t="s">
        <v>191</v>
      </c>
      <c r="C79" s="53" t="s">
        <v>192</v>
      </c>
      <c r="D79" s="17" t="s">
        <v>193</v>
      </c>
      <c r="E79" s="48" t="s">
        <v>194</v>
      </c>
      <c r="F79" s="17" t="s">
        <v>195</v>
      </c>
    </row>
    <row r="80" spans="1:6" s="124" customFormat="1" ht="69">
      <c r="A80" s="116" t="s">
        <v>245</v>
      </c>
      <c r="B80" s="117" t="s">
        <v>254</v>
      </c>
      <c r="C80" s="118" t="b">
        <f t="array" ref="C80">IFERROR(AND(FarmUnit[1. Identifiant interne de l’exploitation agricole présent sur la feuille 1. Membre du groupe]),TRUE)</f>
        <v>1</v>
      </c>
      <c r="D80" s="117" t="s">
        <v>285</v>
      </c>
      <c r="E80" s="119" t="str">
        <f t="array" ref="E80">IF(ISNA(MATCH(FALSE,FarmUnit[1. Identifiant interne de l’exploitation agricole présent sur la feuille 1. Membre du groupe],0)),Translations!$B$22, "J"&amp;MATCH(FALSE,FarmUnit[1. Identifiant interne de l’exploitation agricole présent sur la feuille 1. Membre du groupe],0)+2)</f>
        <v>Chaque identifiant interne de membre du groupe est présent.</v>
      </c>
      <c r="F80" s="120" t="str">
        <f t="array" aca="1" ref="F80" ca="1">IF(E80=Translations!$B$22,HYPERLINK("#"&amp;CELL("address"),Translations!$B$8),HYPERLINK("#'3. Farm unit'!"&amp;E80,Translations!$B$23))</f>
        <v>Non applicable.</v>
      </c>
    </row>
    <row r="81" spans="1:6" s="124" customFormat="1" ht="103.5">
      <c r="A81" s="116" t="s">
        <v>161</v>
      </c>
      <c r="B81" s="104" t="s">
        <v>258</v>
      </c>
      <c r="C81" s="108" t="b">
        <f t="array" ref="C81">AND(ISBLANK(FarmUnit[1. Identifiant interne d’exploitation agricole*])=ISBLANK(FarmUnit[2. Identifiant d’unité agricole*]))</f>
        <v>1</v>
      </c>
      <c r="D81" s="104" t="s">
        <v>234</v>
      </c>
      <c r="E81" s="108" t="str">
        <f t="array" ref="E81">IF(ISNA(MATCH(FALSE,(ISBLANK(FarmUnit[1. Identifiant interne d’exploitation agricole*])=ISBLANK(FarmUnit[2. Identifiant d’unité agricole*])),0)),Translations!$B$12, "D"&amp;MATCH(FALSE,(ISBLANK(FarmUnit[1. Identifiant interne d’exploitation agricole*])=ISBLANK(FarmUnit[2. Identifiant d’unité agricole*])),0)+2)</f>
        <v>Il n’y a aucune cellule vide.</v>
      </c>
      <c r="F81" s="109" t="str">
        <f ca="1">IF(E81=Translations!$B$12,HYPERLINK("#"&amp;CELL("address"),Translations!$B$8),HYPERLINK("#'3. Farm unit'!"&amp;E81,Translations!$B$11))</f>
        <v>Non applicable.</v>
      </c>
    </row>
    <row r="82" spans="1:6" s="124" customFormat="1" ht="103.5">
      <c r="A82" s="116" t="s">
        <v>162</v>
      </c>
      <c r="B82" s="104" t="s">
        <v>258</v>
      </c>
      <c r="C82" s="108" t="b">
        <f t="array" ref="C82">AND(ISBLANK(FarmUnit[1. Identifiant interne d’exploitation agricole*])=ISBLANK(FarmUnit[3. Superficie de l’unité agricole (ha)*]))</f>
        <v>1</v>
      </c>
      <c r="D82" s="104" t="s">
        <v>234</v>
      </c>
      <c r="E82" s="108" t="str">
        <f t="array" ref="E82">IF(ISNA(MATCH(FALSE,(ISBLANK(FarmUnit[1. Identifiant interne d’exploitation agricole*])=ISBLANK(FarmUnit[3. Superficie de l’unité agricole (ha)*])),0)),Translations!$B$12, "D"&amp;MATCH(FALSE,(ISBLANK(FarmUnit[1. Identifiant interne d’exploitation agricole*])=ISBLANK(FarmUnit[3. Superficie de l’unité agricole (ha)*])),0)+2)</f>
        <v>Il n’y a aucune cellule vide.</v>
      </c>
      <c r="F82" s="109" t="str">
        <f t="array" aca="1" ref="F82" ca="1">IF(E82=Translations!$B$12,HYPERLINK("#"&amp;CELL("address"),Translations!$B$8),HYPERLINK("#'3. Farm unit'!"&amp;E82,Translations!$B$11))</f>
        <v>Non applicable.</v>
      </c>
    </row>
    <row r="83" spans="1:6" s="124" customFormat="1" ht="34.5">
      <c r="A83" s="116"/>
      <c r="B83" s="104" t="s">
        <v>206</v>
      </c>
      <c r="C83" s="108" t="b">
        <f t="array" ref="C83">AND(ISNUMBER(FarmUnit[3. Superficie de l’unité agricole (ha)*])+ISBLANK(FarmUnit[3. Superficie de l’unité agricole (ha)*]))</f>
        <v>1</v>
      </c>
      <c r="D83" s="104" t="s">
        <v>235</v>
      </c>
      <c r="E83" s="108" t="str">
        <f t="array" ref="E83">IF(AND(ISNUMBER(FarmUnit[3. Superficie de l’unité agricole (ha)*])+ISBLANK(FarmUnit[3. Superficie de l’unité agricole (ha)*])),Translations!$B$13, "D"&amp;MATCH(0,(ISNUMBER(FarmUnit[3. Superficie de l’unité agricole (ha)*])+ISBLANK(FarmUnit[3. Superficie de l’unité agricole (ha)*])),0)+2)</f>
        <v>Toutes les cellules sont des nombres</v>
      </c>
      <c r="F83" s="109" t="str">
        <f t="array" aca="1" ref="F83" ca="1">IF(E83=Translations!$B$13,HYPERLINK("#"&amp;CELL("address"),Translations!$B$8),HYPERLINK("#'3. Farm unit'!"&amp;E83,Translations!$B$11))</f>
        <v>Non applicable.</v>
      </c>
    </row>
    <row r="84" spans="1:6" s="124" customFormat="1" ht="69">
      <c r="A84" s="116" t="s">
        <v>163</v>
      </c>
      <c r="B84" s="104" t="s">
        <v>214</v>
      </c>
      <c r="C84" s="108" t="b">
        <f t="array" ref="C84">AND(ISBLANK(FarmUnit[1. Identifiant interne d’exploitation agricole*])=ISBLANK(FarmUnit[4. Latitude (format DD)**]))</f>
        <v>1</v>
      </c>
      <c r="D84" s="104" t="s">
        <v>234</v>
      </c>
      <c r="E84" s="108" t="str">
        <f t="array" ref="E84">IF(ISNA(MATCH(FALSE,(ISBLANK(FarmUnit[1. Identifiant interne d’exploitation agricole*])=ISBLANK(FarmUnit[4. Latitude (format DD)**])),0)),Translations!$B$12, "D"&amp;MATCH(FALSE,(ISBLANK(FarmUnit[1. Identifiant interne d’exploitation agricole*])=ISBLANK(FarmUnit[4. Latitude (format DD)**])),0)+2)</f>
        <v>Il n’y a aucune cellule vide.</v>
      </c>
      <c r="F84" s="109" t="str">
        <f t="array" aca="1" ref="F84" ca="1">IF(E84=Translations!$B$12,HYPERLINK("#"&amp;CELL("address"),Translations!$B$8),HYPERLINK("#'3. Farm unit'!"&amp;E84,Translations!$B$11))</f>
        <v>Non applicable.</v>
      </c>
    </row>
    <row r="85" spans="1:6" s="124" customFormat="1" ht="51.75">
      <c r="A85" s="116"/>
      <c r="B85" s="126" t="s">
        <v>280</v>
      </c>
      <c r="C85" s="127" t="b">
        <f t="array" ref="C85">AND(IF(ISNUMBER(FarmUnit[4. Latitude (format DD)**]),FALSE,TRUE)+IF(ISNUMBER(FarmUnit[4. Latitude (format DD)**]),IF(LEN(MOD(FarmUnit[4. Latitude (format DD)**],1))&gt;5,TRUE,FALSE),FALSE))</f>
        <v>1</v>
      </c>
      <c r="D85" s="117" t="s">
        <v>286</v>
      </c>
      <c r="E85" s="108" t="str">
        <f t="array" ref="E85">IF(AND(IF(ISNUMBER(FarmUnit[4. Latitude (format DD)**]),FALSE,TRUE)+IF(ISNUMBER(FarmUnit[4. Latitude (format DD)**]),IF(LEN(MOD(FarmUnit[4. Latitude (format DD)**],1))&gt;5,TRUE,FALSE),FALSE)),Translations!$B$26, "D"&amp;MATCH(0,(IF(ISNUMBER(FarmUnit[4. Latitude (format DD)**]),FALSE,TRUE)+IF(ISNUMBER(FarmUnit[4. Latitude (format DD)**]),IF(LEN(MOD(FarmUnit[4. Latitude (format DD)**],1))&gt;5,TRUE,FALSE),FALSE)),0)+2)</f>
        <v>Toutes les coordonnées ont au moins 4 décimales.</v>
      </c>
      <c r="F85" s="109" t="str">
        <f ca="1">IF(E85=Translations!$B$26,HYPERLINK("#"&amp;CELL("address"),Translations!$B$8),HYPERLINK("#'3. Farm unit'!"&amp;E85,Translations!$B$21))</f>
        <v>Non applicable.</v>
      </c>
    </row>
    <row r="86" spans="1:6" s="124" customFormat="1" ht="34.5">
      <c r="A86" s="116"/>
      <c r="B86" s="126" t="s">
        <v>281</v>
      </c>
      <c r="C86" s="127" t="b">
        <f t="array" ref="C86">AND(IFERROR(FarmUnit[4. Latitude (format DD)**]&gt;-181,FALSE)*(FarmUnit[4. Latitude (format DD)**]&lt;181)+ISTEXT(FarmUnit[4. Latitude (format DD)**]))</f>
        <v>1</v>
      </c>
      <c r="D86" s="117" t="s">
        <v>287</v>
      </c>
      <c r="E86" s="108" t="str">
        <f t="array" ref="E86">IF(AND(IFERROR(FarmUnit[4. Latitude (format DD)**]&gt;-181,FALSE)*(FarmUnit[4. Latitude (format DD)**]&lt;181)+ISTEXT(FarmUnit[4. Latitude (format DD)**])),Translations!$B$20, "D"&amp;MATCH(0,IFERROR(FarmUnit[4. Latitude (format DD)**]&gt;-181,FALSE)*(FarmUnit[4. Latitude (format DD)**]&lt;181)+ISTEXT(FarmUnit[4. Latitude (format DD)**]),0)+2)</f>
        <v>Toutes les valeurs sont correctes.</v>
      </c>
      <c r="F86" s="109" t="str">
        <f t="array" aca="1" ref="F86" ca="1">IF(E86=Translations!$B$20,HYPERLINK("#"&amp;CELL("address"),Translations!$B$8),HYPERLINK("#'3. Farm unit'!"&amp;E86,Translations!$B$21))</f>
        <v>Non applicable.</v>
      </c>
    </row>
    <row r="87" spans="1:6" s="124" customFormat="1" ht="51.75">
      <c r="A87" s="116"/>
      <c r="B87" s="126" t="s">
        <v>282</v>
      </c>
      <c r="C87" s="127" t="b">
        <f t="array" ref="C87">AND(IF(FarmUnit[S’agit-il de la plus grande unité agricole]="!",ISNUMBER(FarmUnit[4. Latitude (format DD)**]),TRUE))</f>
        <v>0</v>
      </c>
      <c r="D87" s="117" t="s">
        <v>288</v>
      </c>
      <c r="E87" s="108" t="str">
        <f t="array" ref="E87">IF(AND(IF(FarmUnit[S’agit-il de la plus grande unité agricole]="!",ISNUMBER(FarmUnit[4. Latitude (format DD)**]),TRUE)),Translations!$B$20, "D"&amp;MATCH(FALSE,IF(FarmUnit[S’agit-il de la plus grande unité agricole]="!",ISNUMBER(FarmUnit[4. Latitude (format DD)**]),TRUE),0)+2)</f>
        <v>D3</v>
      </c>
      <c r="F87" s="109" t="str">
        <f t="array" aca="1" ref="F87" ca="1">IF(E87=Translations!$B$20,HYPERLINK("#"&amp;CELL("address"),Translations!$B$8),HYPERLINK("#'3. Farm unit'!"&amp;E87,Translations!$B$21))</f>
        <v>Emplacement de la valeur invalide.</v>
      </c>
    </row>
    <row r="88" spans="1:6" s="124" customFormat="1" ht="69">
      <c r="A88" s="116" t="s">
        <v>164</v>
      </c>
      <c r="B88" s="104" t="s">
        <v>214</v>
      </c>
      <c r="C88" s="108" t="b">
        <f t="array" ref="C88">AND(ISBLANK(FarmUnit[1. Identifiant interne d’exploitation agricole*])=ISBLANK(FarmUnit[5. Longitude (format DD)**]))</f>
        <v>1</v>
      </c>
      <c r="D88" s="104" t="s">
        <v>234</v>
      </c>
      <c r="E88" s="108" t="str">
        <f t="array" ref="E88">IF(ISNA(MATCH(FALSE,(ISBLANK(FarmUnit[1. Identifiant interne d’exploitation agricole*])=ISBLANK(FarmUnit[5. Longitude (format DD)**])),0)),Translations!$B$12, "D"&amp;MATCH(FALSE,(ISBLANK(FarmUnit[1. Identifiant interne d’exploitation agricole*])=ISBLANK(FarmUnit[5. Longitude (format DD)**])),0)+2)</f>
        <v>Il n’y a aucune cellule vide.</v>
      </c>
      <c r="F88" s="109" t="str">
        <f t="array" aca="1" ref="F88" ca="1">IF(E88=Translations!$B$12,HYPERLINK("#"&amp;CELL("address"),Translations!$B$8),HYPERLINK("#'3. Farm unit'!"&amp;E88,Translations!$B$11))</f>
        <v>Non applicable.</v>
      </c>
    </row>
    <row r="89" spans="1:6" s="124" customFormat="1" ht="51.75">
      <c r="A89" s="116"/>
      <c r="B89" s="126" t="s">
        <v>283</v>
      </c>
      <c r="C89" s="127" t="b">
        <f t="array" ref="C89">AND(IF(ISNUMBER(FarmUnit[5. Longitude (format DD)**]),FALSE,TRUE)+IF(ISNUMBER(FarmUnit[5. Longitude (format DD)**]),IF(LEN(MOD(FarmUnit[5. Longitude (format DD)**],1))&gt;5,TRUE,FALSE),FALSE))</f>
        <v>1</v>
      </c>
      <c r="D89" s="117" t="s">
        <v>286</v>
      </c>
      <c r="E89" s="108" t="str">
        <f t="array" ref="E89">IF(AND(IF(ISNUMBER(FarmUnit[5. Longitude (format DD)**]),FALSE,TRUE)+IF(ISNUMBER(FarmUnit[5. Longitude (format DD)**]),IF(LEN(MOD(FarmUnit[5. Longitude (format DD)**],1))&gt;5,TRUE,FALSE),FALSE)),Translations!$B$26, "D"&amp;MATCH(0,(IF(ISNUMBER(FarmUnit[5. Longitude (format DD)**]),FALSE,TRUE)+IF(ISNUMBER(FarmUnit[5. Longitude (format DD)**]),IF(LEN(MOD(FarmUnit[5. Longitude (format DD)**],1))&gt;5,TRUE,FALSE),FALSE)),0)+2)</f>
        <v>Toutes les coordonnées ont au moins 4 décimales.</v>
      </c>
      <c r="F89" s="109" t="str">
        <f ca="1">IF(E89=Translations!$B$26,HYPERLINK("#"&amp;CELL("address"),Translations!$B$8),HYPERLINK("#'3. Farm unit'!"&amp;E89,Translations!$B$21))</f>
        <v>Non applicable.</v>
      </c>
    </row>
    <row r="90" spans="1:6" s="124" customFormat="1" ht="34.5">
      <c r="A90" s="116"/>
      <c r="B90" s="126" t="s">
        <v>284</v>
      </c>
      <c r="C90" s="127" t="b">
        <f t="array" ref="C90">AND(IFERROR(FarmUnit[5. Longitude (format DD)**]&gt;-91,FALSE)*(FarmUnit[5. Longitude (format DD)**]&lt;91)+ISTEXT(FarmUnit[5. Longitude (format DD)**]))</f>
        <v>1</v>
      </c>
      <c r="D90" s="117" t="s">
        <v>289</v>
      </c>
      <c r="E90" s="108" t="str">
        <f t="array" ref="E90">IF(AND(IFERROR(FarmUnit[5. Longitude (format DD)**]&gt;-91,FALSE)*(FarmUnit[5. Longitude (format DD)**]&lt;91)+ISTEXT(FarmUnit[5. Longitude (format DD)**])),Translations!$B$20, "EB"&amp;MATCH(0,IFERROR(FarmUnit[5. Longitude (format DD)**]&gt;-91,FALSE)*(FarmUnit[5. Longitude (format DD)**]&lt;91)+ISTEXT(FarmUnit[5. Longitude (format DD)**]),0)+2)</f>
        <v>Toutes les valeurs sont correctes.</v>
      </c>
      <c r="F90" s="109" t="str">
        <f t="array" aca="1" ref="F90" ca="1">IF(E90=Translations!$B$20,HYPERLINK("#"&amp;CELL("address"),Translations!$B$8),HYPERLINK("#'3. Farm unit'!"&amp;E90,Translations!$B$21))</f>
        <v>Non applicable.</v>
      </c>
    </row>
    <row r="91" spans="1:6" s="124" customFormat="1" ht="51.75">
      <c r="A91" s="116"/>
      <c r="B91" s="126" t="s">
        <v>282</v>
      </c>
      <c r="C91" s="127" t="b">
        <f t="array" ref="C91">AND(IF(FarmUnit[S’agit-il de la plus grande unité agricole]="!",ISNUMBER(FarmUnit[5. Longitude (format DD)**]),TRUE))</f>
        <v>0</v>
      </c>
      <c r="D91" s="117" t="s">
        <v>290</v>
      </c>
      <c r="E91" s="108" t="str">
        <f t="array" ref="E91">IF(AND(IF(FarmUnit[S’agit-il de la plus grande unité agricole]="!",ISNUMBER(FarmUnit[5. Longitude (format DD)**]),TRUE)),Translations!$B$20, "D"&amp;MATCH(FALSE,IF(FarmUnit[S’agit-il de la plus grande unité agricole]="!",ISNUMBER(FarmUnit[5. Longitude (format DD)**]),TRUE),0)+2)</f>
        <v>D3</v>
      </c>
      <c r="F91" s="109" t="str">
        <f t="array" aca="1" ref="F91" ca="1">IF(E91=Translations!$B$20,HYPERLINK("#"&amp;CELL("address"),Translations!$B$8),HYPERLINK("#'3. Farm unit'!"&amp;E91,Translations!$B$21))</f>
        <v>Emplacement de la valeur invalide.</v>
      </c>
    </row>
    <row r="92" spans="1:6" s="124" customFormat="1" ht="34.5">
      <c r="A92" s="116" t="s">
        <v>275</v>
      </c>
      <c r="B92" s="117" t="s">
        <v>262</v>
      </c>
      <c r="C92" s="128">
        <f>COUNTA('3. Unité agricole'!$C$3:$C$40)</f>
        <v>38</v>
      </c>
      <c r="D92" s="102" t="s">
        <v>291</v>
      </c>
      <c r="E92" s="129"/>
      <c r="F92" s="130"/>
    </row>
    <row r="93" spans="1:6" s="124" customFormat="1" ht="69">
      <c r="A93" s="116" t="s">
        <v>276</v>
      </c>
      <c r="B93" s="117" t="s">
        <v>262</v>
      </c>
      <c r="C93" s="128">
        <f t="array" ref="C93">SUM(IF('3. Unité agricole'!$A$3:$A$307&lt;&gt;"",1/COUNTIF('3. Unité agricole'!$A$3:$A$307,'3. Unité agricole'!$A$3:$A$307),"not working"))</f>
        <v>305</v>
      </c>
      <c r="D93" s="102" t="s">
        <v>292</v>
      </c>
      <c r="E93" s="129"/>
      <c r="F93" s="130"/>
    </row>
    <row r="94" spans="1:6" s="124" customFormat="1" ht="34.5">
      <c r="A94" s="116" t="s">
        <v>277</v>
      </c>
      <c r="B94" s="117" t="s">
        <v>262</v>
      </c>
      <c r="C94" s="128">
        <f>SUM('3. Unité agricole'!C:C)</f>
        <v>788.49144999999999</v>
      </c>
      <c r="D94" s="117" t="s">
        <v>293</v>
      </c>
      <c r="E94" s="122"/>
      <c r="F94" s="130"/>
    </row>
    <row r="95" spans="1:6" s="124" customFormat="1" ht="69">
      <c r="A95" s="116" t="s">
        <v>278</v>
      </c>
      <c r="B95" s="117" t="s">
        <v>262</v>
      </c>
      <c r="C95" s="128">
        <f>COUNTIF('3. Unité agricole'!I:I,"!")</f>
        <v>305</v>
      </c>
      <c r="D95" s="117" t="s">
        <v>294</v>
      </c>
      <c r="E95" s="122"/>
      <c r="F95" s="130"/>
    </row>
    <row r="96" spans="1:6" s="124" customFormat="1" ht="69">
      <c r="A96" s="116" t="s">
        <v>279</v>
      </c>
      <c r="B96" s="117" t="s">
        <v>262</v>
      </c>
      <c r="C96" s="128">
        <f>MIN(COUNTA('3. Unité agricole'!$D$3:$D$40),COUNTA('3. Unité agricole'!$E$3:$E$40))</f>
        <v>38</v>
      </c>
      <c r="D96" s="117" t="s">
        <v>295</v>
      </c>
      <c r="E96" s="122"/>
      <c r="F96" s="130"/>
    </row>
    <row r="97" s="23" customFormat="1"/>
    <row r="98" s="23" customFormat="1"/>
    <row r="99" s="23" customFormat="1"/>
    <row r="100" s="23" customFormat="1"/>
    <row r="101" s="23" customFormat="1"/>
    <row r="102" s="23" customFormat="1"/>
    <row r="103" s="23" customFormat="1"/>
    <row r="104" s="23" customFormat="1"/>
  </sheetData>
  <sheetProtection sheet="1" objects="1" scenarios="1" pivotTables="0"/>
  <mergeCells count="1">
    <mergeCell ref="A4:E4"/>
  </mergeCells>
  <conditionalFormatting sqref="C97:C108 C8:C51 C53:C78 C80:C90">
    <cfRule type="containsText" dxfId="19" priority="50" operator="containsText" text="TRUE">
      <formula>NOT(ISERROR(SEARCH("TRUE",C8)))</formula>
    </cfRule>
    <cfRule type="containsText" dxfId="18" priority="51" operator="containsText" text="FALSE">
      <formula>NOT(ISERROR(SEARCH("FALSE",C8)))</formula>
    </cfRule>
  </conditionalFormatting>
  <conditionalFormatting sqref="C73">
    <cfRule type="cellIs" dxfId="17" priority="13" operator="greaterThan">
      <formula>0</formula>
    </cfRule>
  </conditionalFormatting>
  <conditionalFormatting sqref="C91">
    <cfRule type="containsText" dxfId="16" priority="11" operator="containsText" text="TRUE">
      <formula>NOT(ISERROR(SEARCH("TRUE",C91)))</formula>
    </cfRule>
    <cfRule type="containsText" dxfId="15" priority="12" operator="containsText" text="FALSE">
      <formula>NOT(ISERROR(SEARCH("FALSE",C91)))</formula>
    </cfRule>
  </conditionalFormatting>
  <conditionalFormatting sqref="C7">
    <cfRule type="containsText" dxfId="14" priority="9" operator="containsText" text="TRUE">
      <formula>NOT(ISERROR(SEARCH("TRUE",C7)))</formula>
    </cfRule>
    <cfRule type="containsText" dxfId="13" priority="10" operator="containsText" text="FALSE">
      <formula>NOT(ISERROR(SEARCH("FALSE",C7)))</formula>
    </cfRule>
  </conditionalFormatting>
  <conditionalFormatting sqref="C52">
    <cfRule type="containsText" dxfId="12" priority="7" operator="containsText" text="TRUE">
      <formula>NOT(ISERROR(SEARCH("TRUE",C52)))</formula>
    </cfRule>
    <cfRule type="containsText" dxfId="11" priority="8" operator="containsText" text="FALSE">
      <formula>NOT(ISERROR(SEARCH("FALSE",C52)))</formula>
    </cfRule>
  </conditionalFormatting>
  <conditionalFormatting sqref="C79">
    <cfRule type="containsText" dxfId="10" priority="5" operator="containsText" text="TRUE">
      <formula>NOT(ISERROR(SEARCH("TRUE",C79)))</formula>
    </cfRule>
    <cfRule type="containsText" dxfId="9" priority="6" operator="containsText" text="FALSE">
      <formula>NOT(ISERROR(SEARCH("FALSE",C79)))</formula>
    </cfRule>
  </conditionalFormatting>
  <conditionalFormatting sqref="D87">
    <cfRule type="containsText" dxfId="8" priority="3" operator="containsText" text="TRUE">
      <formula>NOT(ISERROR(SEARCH("TRUE",D87)))</formula>
    </cfRule>
    <cfRule type="containsText" dxfId="7" priority="4" operator="containsText" text="FALSE">
      <formula>NOT(ISERROR(SEARCH("FALSE",D87)))</formula>
    </cfRule>
  </conditionalFormatting>
  <conditionalFormatting sqref="D91">
    <cfRule type="containsText" dxfId="6" priority="1" operator="containsText" text="TRUE">
      <formula>NOT(ISERROR(SEARCH("TRUE",D91)))</formula>
    </cfRule>
    <cfRule type="containsText" dxfId="5" priority="2" operator="containsText" text="FALSE">
      <formula>NOT(ISERROR(SEARCH("FALSE",D91)))</formula>
    </cfRule>
  </conditionalFormatting>
  <dataValidations count="5">
    <dataValidation allowBlank="1" showInputMessage="1" showErrorMessage="1" promptTitle="Attention" prompt="IIt is obligatory to provide one GPS point for the largest farm unit of each group member!&#10;Please use a number format, 4 or more decimals. &#10;XX.XXXX or XX,XXXX&#10;If you use the wrong format, the columns on the right will be marked in red." sqref="A84:A87"/>
    <dataValidation allowBlank="1" showInputMessage="1" showErrorMessage="1" promptTitle="Mandatory value" prompt="Please indicate here the farm unit ID that you use in your internal management system, e.g. when collecting geolocation data." sqref="A81"/>
    <dataValidation allowBlank="1" showInputMessage="1" showErrorMessage="1" promptTitle="Mandatory Information" prompt="The area of the specific farm unit. &#10;The sum of all Farm Units of a group member should not be larger than the Total Farm Area in tab 1. Group Member. &#10;&#10;Use format cell as &quot;number&quot;" sqref="A82:A83"/>
    <dataValidation allowBlank="1" showInputMessage="1" showErrorMessage="1" promptTitle="Mandatory value" prompt="Please make sure to use the same ID presented on tab 1. Group member, column 1.&#10;If a member has more than one farm unit of cert- prod repeat the ID as many lines as there are farm units. Please check the requirements on geodata for your upcoming audit." sqref="A80"/>
    <dataValidation allowBlank="1" showInputMessage="1" showErrorMessage="1" promptTitle="Attention" prompt="It is obligatory to provide one GPS point for the largest farm unit of each group member!&#10;Please use a number format, 4 or more decimals. &#10;XX.XXXX or XX,XXXX&#10;If you use the wrong format, the columns on the right will be marked in red." sqref="A88:A90"/>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sheetPr>
    <tabColor rgb="FFFFC000"/>
  </sheetPr>
  <dimension ref="A1:K55"/>
  <sheetViews>
    <sheetView showGridLines="0" workbookViewId="0">
      <selection activeCell="C14" sqref="C14"/>
    </sheetView>
  </sheetViews>
  <sheetFormatPr baseColWidth="10" defaultColWidth="8.7109375" defaultRowHeight="16.5"/>
  <cols>
    <col min="1" max="1" width="58.7109375" style="23" customWidth="1"/>
    <col min="2" max="2" width="45.28515625" style="23" customWidth="1"/>
    <col min="3" max="5" width="50.7109375" style="23" bestFit="1" customWidth="1"/>
    <col min="6" max="6" width="14.5703125" style="23" customWidth="1"/>
    <col min="7" max="7" width="2.7109375" style="23" customWidth="1"/>
    <col min="8" max="18" width="50.7109375" style="23" bestFit="1" customWidth="1"/>
    <col min="19" max="19" width="36.28515625" style="23" bestFit="1" customWidth="1"/>
    <col min="20" max="20" width="55.28515625" style="23" bestFit="1" customWidth="1"/>
    <col min="21" max="28" width="69.5703125" style="23" bestFit="1" customWidth="1"/>
    <col min="29" max="29" width="32" style="23" bestFit="1" customWidth="1"/>
    <col min="30" max="30" width="74.28515625" style="23" bestFit="1" customWidth="1"/>
    <col min="31" max="16384" width="8.7109375" style="23"/>
  </cols>
  <sheetData>
    <row r="1" spans="1:3" s="11" customFormat="1"/>
    <row r="2" spans="1:3" s="11" customFormat="1" ht="20.25" thickBot="1">
      <c r="A2" s="13" t="s">
        <v>11</v>
      </c>
    </row>
    <row r="3" spans="1:3" s="11" customFormat="1" ht="17.25" thickTop="1">
      <c r="A3" s="11" t="s">
        <v>12</v>
      </c>
      <c r="C3" s="12"/>
    </row>
    <row r="4" spans="1:3" s="11" customFormat="1">
      <c r="A4" s="11" t="s">
        <v>13</v>
      </c>
    </row>
    <row r="5" spans="1:3" s="11" customFormat="1">
      <c r="A5" s="11" t="s">
        <v>14</v>
      </c>
      <c r="C5" s="38"/>
    </row>
    <row r="6" spans="1:3" s="11" customFormat="1" ht="18.75">
      <c r="A6" s="15" t="s">
        <v>15</v>
      </c>
      <c r="B6" s="140" t="s">
        <v>16</v>
      </c>
    </row>
    <row r="7" spans="1:3" s="11" customFormat="1">
      <c r="A7" s="17" t="s">
        <v>17</v>
      </c>
      <c r="B7" s="17" t="s">
        <v>18</v>
      </c>
    </row>
    <row r="8" spans="1:3" s="11" customFormat="1">
      <c r="A8" s="16" t="s">
        <v>19</v>
      </c>
      <c r="B8" s="16" t="s">
        <v>171</v>
      </c>
    </row>
    <row r="9" spans="1:3" s="11" customFormat="1">
      <c r="A9" s="16" t="s">
        <v>20</v>
      </c>
      <c r="B9" s="16" t="s">
        <v>172</v>
      </c>
    </row>
    <row r="10" spans="1:3" s="11" customFormat="1" ht="27.6" customHeight="1">
      <c r="A10" s="16" t="s">
        <v>21</v>
      </c>
      <c r="B10" s="16" t="s">
        <v>173</v>
      </c>
    </row>
    <row r="11" spans="1:3" s="11" customFormat="1" ht="25.15" customHeight="1">
      <c r="A11" s="16" t="s">
        <v>22</v>
      </c>
      <c r="B11" s="19" t="s">
        <v>174</v>
      </c>
    </row>
    <row r="12" spans="1:3" s="11" customFormat="1">
      <c r="A12" s="19" t="s">
        <v>23</v>
      </c>
      <c r="B12" s="19" t="s">
        <v>175</v>
      </c>
    </row>
    <row r="13" spans="1:3" s="11" customFormat="1" ht="28.15" customHeight="1">
      <c r="A13" s="24" t="s">
        <v>24</v>
      </c>
      <c r="B13" s="16" t="s">
        <v>176</v>
      </c>
    </row>
    <row r="14" spans="1:3" s="11" customFormat="1" ht="31.9" customHeight="1">
      <c r="A14" s="16" t="s">
        <v>25</v>
      </c>
      <c r="B14" s="16" t="s">
        <v>177</v>
      </c>
    </row>
    <row r="15" spans="1:3" s="11" customFormat="1" ht="42.75">
      <c r="A15" s="20" t="s">
        <v>26</v>
      </c>
      <c r="B15" s="160" t="s">
        <v>178</v>
      </c>
    </row>
    <row r="16" spans="1:3" s="11" customFormat="1">
      <c r="A16" s="20" t="s">
        <v>27</v>
      </c>
      <c r="B16" s="160" t="s">
        <v>179</v>
      </c>
    </row>
    <row r="17" spans="1:2" s="11" customFormat="1">
      <c r="A17" s="20" t="s">
        <v>28</v>
      </c>
      <c r="B17" s="160" t="s">
        <v>180</v>
      </c>
    </row>
    <row r="18" spans="1:2" s="11" customFormat="1">
      <c r="A18" s="20" t="s">
        <v>29</v>
      </c>
      <c r="B18" s="160" t="s">
        <v>181</v>
      </c>
    </row>
    <row r="19" spans="1:2" s="11" customFormat="1">
      <c r="A19" s="20" t="s">
        <v>30</v>
      </c>
      <c r="B19" s="160" t="s">
        <v>182</v>
      </c>
    </row>
    <row r="20" spans="1:2" s="11" customFormat="1">
      <c r="A20" s="20" t="s">
        <v>31</v>
      </c>
      <c r="B20" s="160" t="s">
        <v>183</v>
      </c>
    </row>
    <row r="21" spans="1:2" s="11" customFormat="1">
      <c r="A21" s="20" t="s">
        <v>32</v>
      </c>
      <c r="B21" s="160" t="s">
        <v>184</v>
      </c>
    </row>
    <row r="22" spans="1:2" s="11" customFormat="1" ht="28.5">
      <c r="A22" s="20" t="s">
        <v>33</v>
      </c>
      <c r="B22" s="160" t="s">
        <v>185</v>
      </c>
    </row>
    <row r="23" spans="1:2" s="11" customFormat="1" ht="28.5">
      <c r="A23" s="20" t="s">
        <v>34</v>
      </c>
      <c r="B23" s="160" t="s">
        <v>186</v>
      </c>
    </row>
    <row r="24" spans="1:2" s="11" customFormat="1" ht="28.5">
      <c r="A24" s="20" t="s">
        <v>35</v>
      </c>
      <c r="B24" s="160" t="s">
        <v>187</v>
      </c>
    </row>
    <row r="25" spans="1:2" s="11" customFormat="1" ht="28.5">
      <c r="A25" s="20" t="s">
        <v>36</v>
      </c>
      <c r="B25" s="160" t="s">
        <v>188</v>
      </c>
    </row>
    <row r="26" spans="1:2" s="11" customFormat="1" ht="28.5">
      <c r="A26" s="20" t="s">
        <v>37</v>
      </c>
      <c r="B26" s="160" t="s">
        <v>189</v>
      </c>
    </row>
    <row r="27" spans="1:2" s="11" customFormat="1">
      <c r="A27" s="20"/>
      <c r="B27" s="20"/>
    </row>
    <row r="28" spans="1:2" s="11" customFormat="1">
      <c r="A28" s="20"/>
      <c r="B28" s="20"/>
    </row>
    <row r="29" spans="1:2" s="11" customFormat="1">
      <c r="A29" s="20"/>
      <c r="B29" s="20"/>
    </row>
    <row r="30" spans="1:2" s="11" customFormat="1"/>
    <row r="31" spans="1:2" s="11" customFormat="1"/>
    <row r="32" spans="1:2" s="11" customFormat="1"/>
    <row r="33" spans="1:11" s="11" customFormat="1"/>
    <row r="34" spans="1:11" s="11" customFormat="1"/>
    <row r="35" spans="1:11" s="11" customFormat="1"/>
    <row r="36" spans="1:11" s="11" customFormat="1"/>
    <row r="37" spans="1:11" s="11" customFormat="1"/>
    <row r="38" spans="1:11" s="11" customFormat="1"/>
    <row r="39" spans="1:11" s="11" customFormat="1"/>
    <row r="40" spans="1:11" s="11" customFormat="1"/>
    <row r="41" spans="1:11">
      <c r="A41" s="11"/>
      <c r="B41" s="11"/>
      <c r="C41" s="11"/>
      <c r="D41" s="11"/>
      <c r="E41" s="11"/>
      <c r="F41" s="11"/>
      <c r="G41" s="11"/>
      <c r="H41" s="11"/>
      <c r="I41" s="11"/>
      <c r="J41" s="11"/>
      <c r="K41" s="11"/>
    </row>
    <row r="42" spans="1:11">
      <c r="A42" s="11"/>
      <c r="B42" s="11"/>
      <c r="C42" s="11"/>
      <c r="D42" s="11"/>
      <c r="E42" s="11"/>
      <c r="F42" s="11"/>
      <c r="G42" s="11"/>
      <c r="H42" s="11"/>
      <c r="I42" s="11"/>
      <c r="J42" s="11"/>
      <c r="K42" s="11"/>
    </row>
    <row r="43" spans="1:11">
      <c r="A43" s="11"/>
      <c r="B43" s="11"/>
      <c r="C43" s="11"/>
      <c r="D43" s="11"/>
      <c r="E43" s="11"/>
      <c r="F43" s="11"/>
      <c r="G43" s="11"/>
      <c r="H43" s="11"/>
      <c r="I43" s="11"/>
      <c r="J43" s="11"/>
      <c r="K43" s="11"/>
    </row>
    <row r="44" spans="1:11">
      <c r="A44" s="11"/>
      <c r="B44" s="11"/>
      <c r="C44" s="11"/>
      <c r="D44" s="11"/>
      <c r="E44" s="11"/>
      <c r="F44" s="11"/>
      <c r="G44" s="11"/>
      <c r="H44" s="11"/>
      <c r="I44" s="11"/>
      <c r="J44" s="11"/>
      <c r="K44" s="11"/>
    </row>
    <row r="45" spans="1:11">
      <c r="A45" s="11"/>
      <c r="B45" s="11"/>
      <c r="C45" s="11"/>
      <c r="D45" s="11"/>
      <c r="E45" s="11"/>
      <c r="F45" s="11"/>
      <c r="G45" s="11"/>
      <c r="H45" s="11"/>
      <c r="I45" s="11"/>
      <c r="J45" s="11"/>
      <c r="K45" s="11"/>
    </row>
    <row r="46" spans="1:11">
      <c r="A46" s="11"/>
      <c r="B46" s="11"/>
      <c r="C46" s="11"/>
      <c r="D46" s="11"/>
      <c r="E46" s="11"/>
      <c r="F46" s="11"/>
      <c r="G46" s="11"/>
      <c r="H46" s="11"/>
      <c r="I46" s="11"/>
      <c r="J46" s="11"/>
      <c r="K46" s="11"/>
    </row>
    <row r="47" spans="1:11">
      <c r="A47" s="11"/>
      <c r="B47" s="11"/>
      <c r="C47" s="11"/>
      <c r="D47" s="11"/>
      <c r="E47" s="11"/>
      <c r="F47" s="11"/>
      <c r="G47" s="11"/>
      <c r="H47" s="11"/>
      <c r="I47" s="11"/>
      <c r="J47" s="11"/>
      <c r="K47" s="11"/>
    </row>
    <row r="48" spans="1:11">
      <c r="A48" s="11"/>
      <c r="B48" s="11"/>
      <c r="C48" s="11"/>
      <c r="D48" s="11"/>
      <c r="E48" s="11"/>
      <c r="F48" s="11"/>
      <c r="G48" s="11"/>
      <c r="H48" s="11"/>
      <c r="I48" s="11"/>
      <c r="J48" s="11"/>
      <c r="K48" s="11"/>
    </row>
    <row r="49" spans="1:11">
      <c r="A49" s="11"/>
      <c r="B49" s="11"/>
      <c r="C49" s="11"/>
      <c r="D49" s="11"/>
      <c r="E49" s="11"/>
      <c r="F49" s="11"/>
      <c r="G49" s="11"/>
      <c r="H49" s="11"/>
      <c r="I49" s="11"/>
      <c r="J49" s="11"/>
      <c r="K49" s="11"/>
    </row>
    <row r="50" spans="1:11">
      <c r="A50" s="11"/>
      <c r="B50" s="11"/>
      <c r="C50" s="11"/>
      <c r="D50" s="11"/>
      <c r="E50" s="11"/>
      <c r="F50" s="11"/>
      <c r="G50" s="11"/>
      <c r="H50" s="11"/>
      <c r="I50" s="11"/>
      <c r="J50" s="11"/>
      <c r="K50" s="11"/>
    </row>
    <row r="51" spans="1:11">
      <c r="A51" s="11"/>
      <c r="B51" s="11"/>
      <c r="C51" s="11"/>
      <c r="D51" s="11"/>
      <c r="E51" s="11"/>
      <c r="F51" s="11"/>
      <c r="G51" s="11"/>
      <c r="H51" s="11"/>
      <c r="I51" s="11"/>
      <c r="J51" s="11"/>
      <c r="K51" s="11"/>
    </row>
    <row r="52" spans="1:11">
      <c r="A52" s="11"/>
      <c r="B52" s="11"/>
      <c r="C52" s="11"/>
      <c r="D52" s="11"/>
      <c r="E52" s="11"/>
      <c r="F52" s="11"/>
      <c r="G52" s="11"/>
      <c r="H52" s="11"/>
      <c r="I52" s="11"/>
      <c r="J52" s="11"/>
      <c r="K52" s="11"/>
    </row>
    <row r="53" spans="1:11">
      <c r="A53" s="11"/>
      <c r="B53" s="11"/>
      <c r="C53" s="11"/>
      <c r="D53" s="11"/>
      <c r="E53" s="11"/>
      <c r="F53" s="11"/>
      <c r="G53" s="11"/>
      <c r="H53" s="11"/>
      <c r="I53" s="11"/>
      <c r="J53" s="11"/>
      <c r="K53" s="11"/>
    </row>
    <row r="54" spans="1:11">
      <c r="A54" s="11"/>
      <c r="B54" s="11"/>
      <c r="C54" s="11"/>
      <c r="D54" s="11"/>
      <c r="E54" s="11"/>
      <c r="F54" s="11"/>
      <c r="G54" s="11"/>
      <c r="H54" s="11"/>
      <c r="I54" s="11"/>
      <c r="J54" s="11"/>
      <c r="K54" s="11"/>
    </row>
    <row r="55" spans="1:11">
      <c r="A55" s="11"/>
      <c r="B55" s="11"/>
      <c r="C55" s="11"/>
      <c r="D55" s="11"/>
      <c r="E55" s="11"/>
      <c r="F55" s="11"/>
      <c r="G55" s="11"/>
      <c r="H55" s="11"/>
      <c r="I55" s="11"/>
      <c r="J55" s="11"/>
      <c r="K55" s="11"/>
    </row>
  </sheetData>
  <dataValidations count="1">
    <dataValidation allowBlank="1" showInputMessage="1" showErrorMessage="1" promptTitle="If the formula does not work" prompt="Please click on this cell and press Ctrl+Shift+Enter" sqref="B35"/>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sheetPr>
    <tabColor rgb="FF94BA29"/>
  </sheetPr>
  <dimension ref="A1:D372"/>
  <sheetViews>
    <sheetView showGridLines="0" workbookViewId="0">
      <selection activeCell="G17" sqref="F17:G17"/>
    </sheetView>
  </sheetViews>
  <sheetFormatPr baseColWidth="10" defaultColWidth="9.140625" defaultRowHeight="15"/>
  <cols>
    <col min="1" max="1" width="27.42578125" bestFit="1" customWidth="1"/>
    <col min="2" max="2" width="17.7109375" bestFit="1" customWidth="1"/>
    <col min="3" max="3" width="36.5703125" customWidth="1"/>
    <col min="4" max="4" width="13.7109375" customWidth="1"/>
  </cols>
  <sheetData>
    <row r="1" spans="1:4" ht="30">
      <c r="A1" s="25" t="s">
        <v>331</v>
      </c>
      <c r="B1" s="25" t="s">
        <v>332</v>
      </c>
      <c r="C1" s="26" t="s">
        <v>333</v>
      </c>
      <c r="D1" s="27" t="s">
        <v>334</v>
      </c>
    </row>
    <row r="2" spans="1:4">
      <c r="A2" s="161" t="s">
        <v>38</v>
      </c>
      <c r="B2" s="162"/>
      <c r="C2" s="162" t="s">
        <v>39</v>
      </c>
      <c r="D2" s="163" t="s">
        <v>335</v>
      </c>
    </row>
    <row r="3" spans="1:4">
      <c r="A3" s="164" t="s">
        <v>336</v>
      </c>
      <c r="B3" s="162"/>
      <c r="C3" s="162" t="s">
        <v>39</v>
      </c>
      <c r="D3" s="163" t="s">
        <v>337</v>
      </c>
    </row>
    <row r="4" spans="1:4">
      <c r="A4" s="162" t="s">
        <v>338</v>
      </c>
      <c r="B4" s="162"/>
      <c r="C4" s="162" t="s">
        <v>40</v>
      </c>
      <c r="D4" s="163" t="s">
        <v>337</v>
      </c>
    </row>
    <row r="5" spans="1:4">
      <c r="A5" s="162" t="s">
        <v>41</v>
      </c>
      <c r="B5" s="162"/>
      <c r="C5" s="162" t="s">
        <v>40</v>
      </c>
      <c r="D5" s="163" t="s">
        <v>337</v>
      </c>
    </row>
    <row r="6" spans="1:4">
      <c r="A6" s="162" t="s">
        <v>339</v>
      </c>
      <c r="B6" s="162"/>
      <c r="C6" s="162" t="s">
        <v>39</v>
      </c>
      <c r="D6" s="163" t="s">
        <v>340</v>
      </c>
    </row>
    <row r="7" spans="1:4">
      <c r="A7" s="161" t="s">
        <v>341</v>
      </c>
      <c r="B7" s="162"/>
      <c r="C7" s="162" t="s">
        <v>40</v>
      </c>
      <c r="D7" s="163" t="s">
        <v>337</v>
      </c>
    </row>
    <row r="8" spans="1:4">
      <c r="A8" s="162" t="s">
        <v>342</v>
      </c>
      <c r="B8" s="162"/>
      <c r="C8" s="162" t="s">
        <v>39</v>
      </c>
      <c r="D8" s="163" t="s">
        <v>343</v>
      </c>
    </row>
    <row r="9" spans="1:4">
      <c r="A9" s="162" t="s">
        <v>42</v>
      </c>
      <c r="B9" s="162"/>
      <c r="C9" s="162" t="s">
        <v>40</v>
      </c>
      <c r="D9" s="163" t="s">
        <v>337</v>
      </c>
    </row>
    <row r="10" spans="1:4">
      <c r="A10" s="162" t="s">
        <v>344</v>
      </c>
      <c r="B10" s="162"/>
      <c r="C10" s="162" t="s">
        <v>40</v>
      </c>
      <c r="D10" s="163" t="s">
        <v>337</v>
      </c>
    </row>
    <row r="11" spans="1:4">
      <c r="A11" s="162" t="s">
        <v>345</v>
      </c>
      <c r="B11" s="162"/>
      <c r="C11" s="162" t="s">
        <v>40</v>
      </c>
      <c r="D11" s="163" t="s">
        <v>337</v>
      </c>
    </row>
    <row r="12" spans="1:4">
      <c r="A12" s="162" t="s">
        <v>346</v>
      </c>
      <c r="B12" s="162"/>
      <c r="C12" s="162" t="s">
        <v>40</v>
      </c>
      <c r="D12" s="163" t="s">
        <v>335</v>
      </c>
    </row>
    <row r="13" spans="1:4">
      <c r="A13" s="161" t="s">
        <v>347</v>
      </c>
      <c r="B13" s="162"/>
      <c r="C13" s="162" t="s">
        <v>39</v>
      </c>
      <c r="D13" s="163" t="s">
        <v>335</v>
      </c>
    </row>
    <row r="14" spans="1:4">
      <c r="A14" s="162" t="s">
        <v>348</v>
      </c>
      <c r="B14" s="162"/>
      <c r="C14" s="162" t="s">
        <v>40</v>
      </c>
      <c r="D14" s="163" t="s">
        <v>335</v>
      </c>
    </row>
    <row r="15" spans="1:4">
      <c r="A15" s="162" t="s">
        <v>349</v>
      </c>
      <c r="B15" s="162"/>
      <c r="C15" s="162" t="s">
        <v>40</v>
      </c>
      <c r="D15" s="163" t="s">
        <v>335</v>
      </c>
    </row>
    <row r="16" spans="1:4">
      <c r="A16" s="162" t="s">
        <v>350</v>
      </c>
      <c r="B16" s="162"/>
      <c r="C16" s="162" t="s">
        <v>39</v>
      </c>
      <c r="D16" s="163" t="s">
        <v>335</v>
      </c>
    </row>
    <row r="17" spans="1:4">
      <c r="A17" s="162" t="s">
        <v>351</v>
      </c>
      <c r="B17" s="162"/>
      <c r="C17" s="162" t="s">
        <v>40</v>
      </c>
      <c r="D17" s="163" t="s">
        <v>335</v>
      </c>
    </row>
    <row r="18" spans="1:4">
      <c r="A18" s="162" t="s">
        <v>43</v>
      </c>
      <c r="B18" s="162"/>
      <c r="C18" s="162" t="s">
        <v>40</v>
      </c>
      <c r="D18" s="163" t="s">
        <v>337</v>
      </c>
    </row>
    <row r="19" spans="1:4">
      <c r="A19" s="162" t="s">
        <v>44</v>
      </c>
      <c r="B19" s="162"/>
      <c r="C19" s="162" t="s">
        <v>39</v>
      </c>
      <c r="D19" s="163" t="s">
        <v>340</v>
      </c>
    </row>
    <row r="20" spans="1:4">
      <c r="A20" s="162" t="s">
        <v>352</v>
      </c>
      <c r="B20" s="162"/>
      <c r="C20" s="162" t="s">
        <v>39</v>
      </c>
      <c r="D20" s="163" t="s">
        <v>340</v>
      </c>
    </row>
    <row r="21" spans="1:4">
      <c r="A21" s="162" t="s">
        <v>353</v>
      </c>
      <c r="B21" s="162"/>
      <c r="C21" s="162" t="s">
        <v>39</v>
      </c>
      <c r="D21" s="163" t="s">
        <v>340</v>
      </c>
    </row>
    <row r="22" spans="1:4">
      <c r="A22" s="162" t="s">
        <v>45</v>
      </c>
      <c r="B22" s="162"/>
      <c r="C22" s="162" t="s">
        <v>40</v>
      </c>
      <c r="D22" s="163" t="s">
        <v>337</v>
      </c>
    </row>
    <row r="23" spans="1:4">
      <c r="A23" s="162" t="s">
        <v>354</v>
      </c>
      <c r="B23" s="162"/>
      <c r="C23" s="162" t="s">
        <v>40</v>
      </c>
      <c r="D23" s="163" t="s">
        <v>337</v>
      </c>
    </row>
    <row r="24" spans="1:4">
      <c r="A24" s="162" t="s">
        <v>46</v>
      </c>
      <c r="B24" s="162"/>
      <c r="C24" s="162" t="s">
        <v>40</v>
      </c>
      <c r="D24" s="163" t="s">
        <v>337</v>
      </c>
    </row>
    <row r="25" spans="1:4">
      <c r="A25" s="162" t="s">
        <v>355</v>
      </c>
      <c r="B25" s="162"/>
      <c r="C25" s="162" t="s">
        <v>39</v>
      </c>
      <c r="D25" s="163" t="s">
        <v>340</v>
      </c>
    </row>
    <row r="26" spans="1:4">
      <c r="A26" s="164" t="s">
        <v>356</v>
      </c>
      <c r="B26" s="162"/>
      <c r="C26" s="162" t="s">
        <v>39</v>
      </c>
      <c r="D26" s="163" t="s">
        <v>335</v>
      </c>
    </row>
    <row r="27" spans="1:4">
      <c r="A27" s="162" t="s">
        <v>357</v>
      </c>
      <c r="B27" s="162"/>
      <c r="C27" s="162" t="s">
        <v>40</v>
      </c>
      <c r="D27" s="163" t="s">
        <v>337</v>
      </c>
    </row>
    <row r="28" spans="1:4">
      <c r="A28" s="162" t="s">
        <v>358</v>
      </c>
      <c r="B28" s="165" t="s">
        <v>359</v>
      </c>
      <c r="C28" s="165" t="s">
        <v>39</v>
      </c>
      <c r="D28" s="163" t="s">
        <v>335</v>
      </c>
    </row>
    <row r="29" spans="1:4" ht="30">
      <c r="A29" s="162" t="s">
        <v>358</v>
      </c>
      <c r="B29" s="165" t="s">
        <v>360</v>
      </c>
      <c r="C29" s="165" t="s">
        <v>39</v>
      </c>
      <c r="D29" s="163" t="s">
        <v>335</v>
      </c>
    </row>
    <row r="30" spans="1:4">
      <c r="A30" s="162" t="s">
        <v>358</v>
      </c>
      <c r="B30" s="165" t="s">
        <v>47</v>
      </c>
      <c r="C30" s="165" t="s">
        <v>39</v>
      </c>
      <c r="D30" s="163" t="s">
        <v>335</v>
      </c>
    </row>
    <row r="31" spans="1:4">
      <c r="A31" s="162" t="s">
        <v>358</v>
      </c>
      <c r="B31" s="165" t="s">
        <v>361</v>
      </c>
      <c r="C31" s="165" t="s">
        <v>39</v>
      </c>
      <c r="D31" s="163" t="s">
        <v>335</v>
      </c>
    </row>
    <row r="32" spans="1:4">
      <c r="A32" s="161" t="s">
        <v>48</v>
      </c>
      <c r="B32" s="162"/>
      <c r="C32" s="165" t="s">
        <v>39</v>
      </c>
      <c r="D32" s="163" t="s">
        <v>335</v>
      </c>
    </row>
    <row r="33" spans="1:4">
      <c r="A33" s="162" t="s">
        <v>362</v>
      </c>
      <c r="B33" s="162"/>
      <c r="C33" s="162" t="s">
        <v>39</v>
      </c>
      <c r="D33" s="163" t="s">
        <v>335</v>
      </c>
    </row>
    <row r="34" spans="1:4">
      <c r="A34" s="162" t="s">
        <v>363</v>
      </c>
      <c r="B34" s="162"/>
      <c r="C34" s="162" t="s">
        <v>40</v>
      </c>
      <c r="D34" s="163" t="s">
        <v>337</v>
      </c>
    </row>
    <row r="35" spans="1:4">
      <c r="A35" s="162" t="s">
        <v>364</v>
      </c>
      <c r="B35" s="162"/>
      <c r="C35" s="162" t="s">
        <v>40</v>
      </c>
      <c r="D35" s="163" t="s">
        <v>337</v>
      </c>
    </row>
    <row r="36" spans="1:4">
      <c r="A36" s="162" t="s">
        <v>365</v>
      </c>
      <c r="B36" s="162"/>
      <c r="C36" s="162" t="s">
        <v>39</v>
      </c>
      <c r="D36" s="163" t="s">
        <v>340</v>
      </c>
    </row>
    <row r="37" spans="1:4">
      <c r="A37" s="162" t="s">
        <v>366</v>
      </c>
      <c r="B37" s="162"/>
      <c r="C37" s="162" t="s">
        <v>39</v>
      </c>
      <c r="D37" s="163" t="s">
        <v>340</v>
      </c>
    </row>
    <row r="38" spans="1:4">
      <c r="A38" s="162" t="s">
        <v>367</v>
      </c>
      <c r="B38" s="162"/>
      <c r="C38" s="162" t="s">
        <v>39</v>
      </c>
      <c r="D38" s="163" t="s">
        <v>340</v>
      </c>
    </row>
    <row r="39" spans="1:4">
      <c r="A39" s="162" t="s">
        <v>368</v>
      </c>
      <c r="B39" s="162"/>
      <c r="C39" s="162" t="s">
        <v>40</v>
      </c>
      <c r="D39" s="163" t="s">
        <v>337</v>
      </c>
    </row>
    <row r="40" spans="1:4">
      <c r="A40" s="162" t="s">
        <v>369</v>
      </c>
      <c r="B40" s="162"/>
      <c r="C40" s="162" t="s">
        <v>40</v>
      </c>
      <c r="D40" s="163" t="s">
        <v>337</v>
      </c>
    </row>
    <row r="41" spans="1:4">
      <c r="A41" s="162" t="s">
        <v>370</v>
      </c>
      <c r="B41" s="162"/>
      <c r="C41" s="162" t="s">
        <v>39</v>
      </c>
      <c r="D41" s="163" t="s">
        <v>335</v>
      </c>
    </row>
    <row r="42" spans="1:4">
      <c r="A42" s="161" t="s">
        <v>371</v>
      </c>
      <c r="B42" s="162"/>
      <c r="C42" s="162" t="s">
        <v>39</v>
      </c>
      <c r="D42" s="163" t="s">
        <v>340</v>
      </c>
    </row>
    <row r="43" spans="1:4">
      <c r="A43" s="164" t="s">
        <v>372</v>
      </c>
      <c r="B43" s="166"/>
      <c r="C43" s="167" t="s">
        <v>39</v>
      </c>
      <c r="D43" s="163" t="s">
        <v>335</v>
      </c>
    </row>
    <row r="44" spans="1:4">
      <c r="A44" s="164" t="s">
        <v>373</v>
      </c>
      <c r="B44" s="162"/>
      <c r="C44" s="162" t="s">
        <v>40</v>
      </c>
      <c r="D44" s="163" t="s">
        <v>337</v>
      </c>
    </row>
    <row r="45" spans="1:4">
      <c r="A45" s="162" t="s">
        <v>374</v>
      </c>
      <c r="B45" s="165"/>
      <c r="C45" s="162" t="s">
        <v>375</v>
      </c>
      <c r="D45" s="163" t="s">
        <v>337</v>
      </c>
    </row>
    <row r="46" spans="1:4">
      <c r="A46" s="162" t="s">
        <v>376</v>
      </c>
      <c r="B46" s="162"/>
      <c r="C46" s="162" t="s">
        <v>40</v>
      </c>
      <c r="D46" s="163" t="s">
        <v>337</v>
      </c>
    </row>
    <row r="47" spans="1:4">
      <c r="A47" s="162" t="s">
        <v>376</v>
      </c>
      <c r="B47" s="166"/>
      <c r="C47" s="167" t="s">
        <v>39</v>
      </c>
      <c r="D47" s="163" t="s">
        <v>335</v>
      </c>
    </row>
    <row r="48" spans="1:4">
      <c r="A48" s="162" t="s">
        <v>377</v>
      </c>
      <c r="B48" s="166"/>
      <c r="C48" s="167" t="s">
        <v>40</v>
      </c>
      <c r="D48" s="163" t="s">
        <v>335</v>
      </c>
    </row>
    <row r="49" spans="1:4">
      <c r="A49" s="162" t="s">
        <v>378</v>
      </c>
      <c r="B49" s="162"/>
      <c r="C49" s="162" t="s">
        <v>40</v>
      </c>
      <c r="D49" s="163" t="s">
        <v>337</v>
      </c>
    </row>
    <row r="50" spans="1:4">
      <c r="A50" s="162" t="s">
        <v>370</v>
      </c>
      <c r="B50" s="162"/>
      <c r="C50" s="162" t="s">
        <v>39</v>
      </c>
      <c r="D50" s="163" t="s">
        <v>335</v>
      </c>
    </row>
    <row r="51" spans="1:4">
      <c r="A51" s="162" t="s">
        <v>379</v>
      </c>
      <c r="B51" s="162"/>
      <c r="C51" s="162" t="s">
        <v>40</v>
      </c>
      <c r="D51" s="163" t="s">
        <v>335</v>
      </c>
    </row>
    <row r="52" spans="1:4">
      <c r="A52" s="162" t="s">
        <v>49</v>
      </c>
      <c r="B52" s="162"/>
      <c r="C52" s="162" t="s">
        <v>40</v>
      </c>
      <c r="D52" s="163" t="s">
        <v>337</v>
      </c>
    </row>
    <row r="53" spans="1:4">
      <c r="A53" s="162" t="s">
        <v>50</v>
      </c>
      <c r="B53" s="162"/>
      <c r="C53" s="162" t="s">
        <v>40</v>
      </c>
      <c r="D53" s="163" t="s">
        <v>337</v>
      </c>
    </row>
    <row r="54" spans="1:4">
      <c r="A54" s="162" t="s">
        <v>380</v>
      </c>
      <c r="B54" s="162"/>
      <c r="C54" s="162" t="s">
        <v>40</v>
      </c>
      <c r="D54" s="163" t="s">
        <v>337</v>
      </c>
    </row>
    <row r="55" spans="1:4">
      <c r="A55" s="162" t="s">
        <v>381</v>
      </c>
      <c r="B55" s="162"/>
      <c r="C55" s="162" t="s">
        <v>39</v>
      </c>
      <c r="D55" s="163" t="s">
        <v>335</v>
      </c>
    </row>
    <row r="56" spans="1:4">
      <c r="A56" s="162" t="s">
        <v>382</v>
      </c>
      <c r="B56" s="162"/>
      <c r="C56" s="162" t="s">
        <v>40</v>
      </c>
      <c r="D56" s="163" t="s">
        <v>337</v>
      </c>
    </row>
    <row r="57" spans="1:4">
      <c r="A57" s="162" t="s">
        <v>383</v>
      </c>
      <c r="B57" s="162"/>
      <c r="C57" s="162" t="s">
        <v>39</v>
      </c>
      <c r="D57" s="163" t="s">
        <v>340</v>
      </c>
    </row>
    <row r="58" spans="1:4">
      <c r="A58" s="162" t="s">
        <v>384</v>
      </c>
      <c r="B58" s="162"/>
      <c r="C58" s="162" t="s">
        <v>39</v>
      </c>
      <c r="D58" s="163" t="s">
        <v>340</v>
      </c>
    </row>
    <row r="59" spans="1:4">
      <c r="A59" s="162" t="s">
        <v>385</v>
      </c>
      <c r="B59" s="162"/>
      <c r="C59" s="162" t="s">
        <v>40</v>
      </c>
      <c r="D59" s="163" t="s">
        <v>337</v>
      </c>
    </row>
    <row r="60" spans="1:4">
      <c r="A60" s="162" t="s">
        <v>386</v>
      </c>
      <c r="B60" s="162"/>
      <c r="C60" s="162" t="s">
        <v>39</v>
      </c>
      <c r="D60" s="163" t="s">
        <v>340</v>
      </c>
    </row>
    <row r="61" spans="1:4">
      <c r="A61" s="162" t="s">
        <v>387</v>
      </c>
      <c r="B61" s="162"/>
      <c r="C61" s="162" t="s">
        <v>39</v>
      </c>
      <c r="D61" s="163" t="s">
        <v>340</v>
      </c>
    </row>
    <row r="62" spans="1:4">
      <c r="A62" s="162" t="s">
        <v>388</v>
      </c>
      <c r="B62" s="162"/>
      <c r="C62" s="162" t="s">
        <v>39</v>
      </c>
      <c r="D62" s="163" t="s">
        <v>340</v>
      </c>
    </row>
    <row r="63" spans="1:4">
      <c r="A63" s="162" t="s">
        <v>389</v>
      </c>
      <c r="B63" s="162"/>
      <c r="C63" s="162" t="s">
        <v>40</v>
      </c>
      <c r="D63" s="163" t="s">
        <v>337</v>
      </c>
    </row>
    <row r="64" spans="1:4">
      <c r="A64" s="162" t="s">
        <v>390</v>
      </c>
      <c r="B64" s="162"/>
      <c r="C64" s="162" t="s">
        <v>40</v>
      </c>
      <c r="D64" s="163" t="s">
        <v>337</v>
      </c>
    </row>
    <row r="65" spans="1:4">
      <c r="A65" s="162" t="s">
        <v>391</v>
      </c>
      <c r="B65" s="162"/>
      <c r="C65" s="162" t="s">
        <v>40</v>
      </c>
      <c r="D65" s="163" t="s">
        <v>337</v>
      </c>
    </row>
    <row r="66" spans="1:4">
      <c r="A66" s="162" t="s">
        <v>392</v>
      </c>
      <c r="B66" s="162"/>
      <c r="C66" s="162" t="s">
        <v>40</v>
      </c>
      <c r="D66" s="163" t="s">
        <v>337</v>
      </c>
    </row>
    <row r="67" spans="1:4">
      <c r="A67" s="162" t="s">
        <v>393</v>
      </c>
      <c r="B67" s="162"/>
      <c r="C67" s="162" t="s">
        <v>40</v>
      </c>
      <c r="D67" s="163" t="s">
        <v>337</v>
      </c>
    </row>
    <row r="68" spans="1:4">
      <c r="A68" s="162" t="s">
        <v>394</v>
      </c>
      <c r="B68" s="162"/>
      <c r="C68" s="162" t="s">
        <v>39</v>
      </c>
      <c r="D68" s="163" t="s">
        <v>340</v>
      </c>
    </row>
    <row r="69" spans="1:4">
      <c r="A69" s="162" t="s">
        <v>395</v>
      </c>
      <c r="B69" s="162"/>
      <c r="C69" s="162" t="s">
        <v>39</v>
      </c>
      <c r="D69" s="163" t="s">
        <v>343</v>
      </c>
    </row>
    <row r="70" spans="1:4">
      <c r="A70" s="161" t="s">
        <v>396</v>
      </c>
      <c r="B70" s="162"/>
      <c r="C70" s="162" t="s">
        <v>39</v>
      </c>
      <c r="D70" s="163" t="s">
        <v>340</v>
      </c>
    </row>
    <row r="71" spans="1:4">
      <c r="A71" s="162" t="s">
        <v>51</v>
      </c>
      <c r="B71" s="162"/>
      <c r="C71" s="162" t="s">
        <v>40</v>
      </c>
      <c r="D71" s="163" t="s">
        <v>337</v>
      </c>
    </row>
    <row r="72" spans="1:4">
      <c r="A72" s="162" t="s">
        <v>397</v>
      </c>
      <c r="B72" s="162"/>
      <c r="C72" s="162" t="s">
        <v>40</v>
      </c>
      <c r="D72" s="163" t="s">
        <v>337</v>
      </c>
    </row>
    <row r="73" spans="1:4">
      <c r="A73" s="162" t="s">
        <v>398</v>
      </c>
      <c r="B73" s="162"/>
      <c r="C73" s="162" t="s">
        <v>39</v>
      </c>
      <c r="D73" s="163" t="s">
        <v>340</v>
      </c>
    </row>
    <row r="74" spans="1:4">
      <c r="A74" s="162" t="s">
        <v>399</v>
      </c>
      <c r="B74" s="162"/>
      <c r="C74" s="162" t="s">
        <v>40</v>
      </c>
      <c r="D74" s="163" t="s">
        <v>337</v>
      </c>
    </row>
    <row r="75" spans="1:4">
      <c r="A75" s="162" t="s">
        <v>400</v>
      </c>
      <c r="B75" s="162"/>
      <c r="C75" s="162" t="s">
        <v>39</v>
      </c>
      <c r="D75" s="163" t="s">
        <v>340</v>
      </c>
    </row>
    <row r="76" spans="1:4">
      <c r="A76" s="162" t="s">
        <v>52</v>
      </c>
      <c r="B76" s="162"/>
      <c r="C76" s="162" t="s">
        <v>40</v>
      </c>
      <c r="D76" s="163" t="s">
        <v>337</v>
      </c>
    </row>
    <row r="77" spans="1:4">
      <c r="A77" s="162" t="s">
        <v>401</v>
      </c>
      <c r="B77" s="162"/>
      <c r="C77" s="162" t="s">
        <v>40</v>
      </c>
      <c r="D77" s="163" t="s">
        <v>337</v>
      </c>
    </row>
    <row r="78" spans="1:4">
      <c r="A78" s="162" t="s">
        <v>402</v>
      </c>
      <c r="B78" s="162"/>
      <c r="C78" s="162" t="s">
        <v>39</v>
      </c>
      <c r="D78" s="163" t="s">
        <v>340</v>
      </c>
    </row>
    <row r="79" spans="1:4">
      <c r="A79" s="162" t="s">
        <v>53</v>
      </c>
      <c r="B79" s="162"/>
      <c r="C79" s="162" t="s">
        <v>39</v>
      </c>
      <c r="D79" s="163" t="s">
        <v>340</v>
      </c>
    </row>
    <row r="80" spans="1:4">
      <c r="A80" s="162" t="s">
        <v>403</v>
      </c>
      <c r="B80" s="162"/>
      <c r="C80" s="162" t="s">
        <v>40</v>
      </c>
      <c r="D80" s="163" t="s">
        <v>337</v>
      </c>
    </row>
    <row r="81" spans="1:4">
      <c r="A81" s="162" t="s">
        <v>404</v>
      </c>
      <c r="B81" s="162"/>
      <c r="C81" s="162" t="s">
        <v>40</v>
      </c>
      <c r="D81" s="163" t="s">
        <v>335</v>
      </c>
    </row>
    <row r="82" spans="1:4">
      <c r="A82" s="162" t="s">
        <v>405</v>
      </c>
      <c r="B82" s="162"/>
      <c r="C82" s="162" t="s">
        <v>39</v>
      </c>
      <c r="D82" s="163" t="s">
        <v>335</v>
      </c>
    </row>
    <row r="83" spans="1:4">
      <c r="A83" s="162" t="s">
        <v>406</v>
      </c>
      <c r="B83" s="162"/>
      <c r="C83" s="162" t="s">
        <v>40</v>
      </c>
      <c r="D83" s="163" t="s">
        <v>335</v>
      </c>
    </row>
    <row r="84" spans="1:4">
      <c r="A84" s="162" t="s">
        <v>407</v>
      </c>
      <c r="B84" s="162"/>
      <c r="C84" s="162" t="s">
        <v>40</v>
      </c>
      <c r="D84" s="163" t="s">
        <v>337</v>
      </c>
    </row>
    <row r="85" spans="1:4">
      <c r="A85" s="162" t="s">
        <v>408</v>
      </c>
      <c r="B85" s="162"/>
      <c r="C85" s="162" t="s">
        <v>40</v>
      </c>
      <c r="D85" s="163" t="s">
        <v>337</v>
      </c>
    </row>
    <row r="86" spans="1:4">
      <c r="A86" s="162" t="s">
        <v>409</v>
      </c>
      <c r="B86" s="162"/>
      <c r="C86" s="162" t="s">
        <v>39</v>
      </c>
      <c r="D86" s="163" t="s">
        <v>340</v>
      </c>
    </row>
    <row r="87" spans="1:4">
      <c r="A87" s="161" t="s">
        <v>410</v>
      </c>
      <c r="B87" s="162"/>
      <c r="C87" s="162" t="s">
        <v>375</v>
      </c>
      <c r="D87" s="163" t="s">
        <v>337</v>
      </c>
    </row>
    <row r="88" spans="1:4">
      <c r="A88" s="161" t="s">
        <v>411</v>
      </c>
      <c r="B88" s="165" t="s">
        <v>412</v>
      </c>
      <c r="C88" s="162" t="s">
        <v>375</v>
      </c>
      <c r="D88" s="163" t="s">
        <v>337</v>
      </c>
    </row>
    <row r="89" spans="1:4">
      <c r="A89" s="161" t="s">
        <v>411</v>
      </c>
      <c r="B89" s="165" t="s">
        <v>413</v>
      </c>
      <c r="C89" s="162" t="s">
        <v>375</v>
      </c>
      <c r="D89" s="163" t="s">
        <v>337</v>
      </c>
    </row>
    <row r="90" spans="1:4">
      <c r="A90" s="161" t="s">
        <v>411</v>
      </c>
      <c r="B90" s="165" t="s">
        <v>414</v>
      </c>
      <c r="C90" s="162" t="s">
        <v>375</v>
      </c>
      <c r="D90" s="163" t="s">
        <v>337</v>
      </c>
    </row>
    <row r="91" spans="1:4">
      <c r="A91" s="161" t="s">
        <v>411</v>
      </c>
      <c r="B91" s="165" t="s">
        <v>415</v>
      </c>
      <c r="C91" s="162" t="s">
        <v>375</v>
      </c>
      <c r="D91" s="163" t="s">
        <v>337</v>
      </c>
    </row>
    <row r="92" spans="1:4">
      <c r="A92" s="162" t="s">
        <v>416</v>
      </c>
      <c r="B92" s="162"/>
      <c r="C92" s="162" t="s">
        <v>40</v>
      </c>
      <c r="D92" s="163" t="s">
        <v>337</v>
      </c>
    </row>
    <row r="93" spans="1:4">
      <c r="A93" s="162" t="s">
        <v>417</v>
      </c>
      <c r="B93" s="162"/>
      <c r="C93" s="162" t="s">
        <v>40</v>
      </c>
      <c r="D93" s="163" t="s">
        <v>337</v>
      </c>
    </row>
    <row r="94" spans="1:4">
      <c r="A94" s="162" t="s">
        <v>418</v>
      </c>
      <c r="B94" s="162"/>
      <c r="C94" s="162" t="s">
        <v>40</v>
      </c>
      <c r="D94" s="163" t="s">
        <v>337</v>
      </c>
    </row>
    <row r="95" spans="1:4">
      <c r="A95" s="162" t="s">
        <v>419</v>
      </c>
      <c r="B95" s="162"/>
      <c r="C95" s="162" t="s">
        <v>40</v>
      </c>
      <c r="D95" s="163" t="s">
        <v>337</v>
      </c>
    </row>
    <row r="96" spans="1:4">
      <c r="A96" s="162" t="s">
        <v>420</v>
      </c>
      <c r="B96" s="162"/>
      <c r="C96" s="162" t="s">
        <v>39</v>
      </c>
      <c r="D96" s="163" t="s">
        <v>335</v>
      </c>
    </row>
    <row r="97" spans="1:4">
      <c r="A97" s="162" t="s">
        <v>421</v>
      </c>
      <c r="B97" s="162"/>
      <c r="C97" s="162" t="s">
        <v>40</v>
      </c>
      <c r="D97" s="163" t="s">
        <v>337</v>
      </c>
    </row>
    <row r="98" spans="1:4">
      <c r="A98" s="162" t="s">
        <v>422</v>
      </c>
      <c r="B98" s="162"/>
      <c r="C98" s="162" t="s">
        <v>39</v>
      </c>
      <c r="D98" s="163" t="s">
        <v>335</v>
      </c>
    </row>
    <row r="99" spans="1:4">
      <c r="A99" s="162" t="s">
        <v>423</v>
      </c>
      <c r="B99" s="162"/>
      <c r="C99" s="162" t="s">
        <v>39</v>
      </c>
      <c r="D99" s="163" t="s">
        <v>335</v>
      </c>
    </row>
    <row r="100" spans="1:4">
      <c r="A100" s="162" t="s">
        <v>424</v>
      </c>
      <c r="B100" s="162"/>
      <c r="C100" s="162" t="s">
        <v>39</v>
      </c>
      <c r="D100" s="163" t="s">
        <v>335</v>
      </c>
    </row>
    <row r="101" spans="1:4">
      <c r="A101" s="162" t="s">
        <v>425</v>
      </c>
      <c r="B101" s="162"/>
      <c r="C101" s="162" t="s">
        <v>39</v>
      </c>
      <c r="D101" s="163" t="s">
        <v>335</v>
      </c>
    </row>
    <row r="102" spans="1:4">
      <c r="A102" s="162" t="s">
        <v>426</v>
      </c>
      <c r="B102" s="162"/>
      <c r="C102" s="162" t="s">
        <v>40</v>
      </c>
      <c r="D102" s="163" t="s">
        <v>337</v>
      </c>
    </row>
    <row r="103" spans="1:4">
      <c r="A103" s="162" t="s">
        <v>427</v>
      </c>
      <c r="B103" s="162"/>
      <c r="C103" s="162" t="s">
        <v>39</v>
      </c>
      <c r="D103" s="163" t="s">
        <v>427</v>
      </c>
    </row>
    <row r="104" spans="1:4">
      <c r="A104" s="162" t="s">
        <v>428</v>
      </c>
      <c r="B104" s="162"/>
      <c r="C104" s="162" t="s">
        <v>39</v>
      </c>
      <c r="D104" s="163" t="s">
        <v>335</v>
      </c>
    </row>
    <row r="105" spans="1:4">
      <c r="A105" s="162" t="s">
        <v>429</v>
      </c>
      <c r="B105" s="162" t="s">
        <v>55</v>
      </c>
      <c r="C105" s="162" t="s">
        <v>39</v>
      </c>
      <c r="D105" s="163" t="s">
        <v>429</v>
      </c>
    </row>
    <row r="106" spans="1:4">
      <c r="A106" s="162" t="s">
        <v>429</v>
      </c>
      <c r="B106" s="162" t="s">
        <v>56</v>
      </c>
      <c r="C106" s="162" t="s">
        <v>39</v>
      </c>
      <c r="D106" s="163" t="s">
        <v>429</v>
      </c>
    </row>
    <row r="107" spans="1:4">
      <c r="A107" s="162" t="s">
        <v>430</v>
      </c>
      <c r="B107" s="162"/>
      <c r="C107" s="162" t="s">
        <v>40</v>
      </c>
      <c r="D107" s="163" t="s">
        <v>337</v>
      </c>
    </row>
    <row r="108" spans="1:4">
      <c r="A108" s="162" t="s">
        <v>431</v>
      </c>
      <c r="B108" s="162"/>
      <c r="C108" s="162" t="s">
        <v>40</v>
      </c>
      <c r="D108" s="163" t="s">
        <v>337</v>
      </c>
    </row>
    <row r="109" spans="1:4">
      <c r="A109" s="162" t="s">
        <v>432</v>
      </c>
      <c r="B109" s="162"/>
      <c r="C109" s="162" t="s">
        <v>40</v>
      </c>
      <c r="D109" s="163" t="s">
        <v>337</v>
      </c>
    </row>
    <row r="110" spans="1:4">
      <c r="A110" s="162" t="s">
        <v>57</v>
      </c>
      <c r="B110" s="162"/>
      <c r="C110" s="162" t="s">
        <v>39</v>
      </c>
      <c r="D110" s="163" t="s">
        <v>335</v>
      </c>
    </row>
    <row r="111" spans="1:4">
      <c r="A111" s="162" t="s">
        <v>418</v>
      </c>
      <c r="B111" s="162"/>
      <c r="C111" s="162" t="s">
        <v>40</v>
      </c>
      <c r="D111" s="163" t="s">
        <v>337</v>
      </c>
    </row>
    <row r="112" spans="1:4">
      <c r="A112" s="162" t="s">
        <v>433</v>
      </c>
      <c r="B112" s="162"/>
      <c r="C112" s="162" t="s">
        <v>39</v>
      </c>
      <c r="D112" s="163" t="s">
        <v>340</v>
      </c>
    </row>
    <row r="113" spans="1:4">
      <c r="A113" s="162" t="s">
        <v>434</v>
      </c>
      <c r="B113" s="162"/>
      <c r="C113" s="162" t="s">
        <v>40</v>
      </c>
      <c r="D113" s="163" t="s">
        <v>337</v>
      </c>
    </row>
    <row r="114" spans="1:4">
      <c r="A114" s="162" t="s">
        <v>435</v>
      </c>
      <c r="B114" s="162"/>
      <c r="C114" s="162" t="s">
        <v>40</v>
      </c>
      <c r="D114" s="163" t="s">
        <v>337</v>
      </c>
    </row>
    <row r="115" spans="1:4">
      <c r="A115" s="162" t="s">
        <v>436</v>
      </c>
      <c r="B115" s="162"/>
      <c r="C115" s="162" t="s">
        <v>40</v>
      </c>
      <c r="D115" s="163" t="s">
        <v>337</v>
      </c>
    </row>
    <row r="116" spans="1:4">
      <c r="A116" s="162" t="s">
        <v>437</v>
      </c>
      <c r="B116" s="162"/>
      <c r="C116" s="162" t="s">
        <v>40</v>
      </c>
      <c r="D116" s="163" t="s">
        <v>335</v>
      </c>
    </row>
    <row r="117" spans="1:4">
      <c r="A117" s="162" t="s">
        <v>438</v>
      </c>
      <c r="B117" s="162"/>
      <c r="C117" s="162" t="s">
        <v>39</v>
      </c>
      <c r="D117" s="163" t="s">
        <v>335</v>
      </c>
    </row>
    <row r="118" spans="1:4">
      <c r="A118" s="162" t="s">
        <v>439</v>
      </c>
      <c r="B118" s="162"/>
      <c r="C118" s="162" t="s">
        <v>40</v>
      </c>
      <c r="D118" s="163" t="s">
        <v>335</v>
      </c>
    </row>
    <row r="119" spans="1:4">
      <c r="A119" s="162" t="s">
        <v>440</v>
      </c>
      <c r="B119" s="162"/>
      <c r="C119" s="162" t="s">
        <v>39</v>
      </c>
      <c r="D119" s="163" t="s">
        <v>335</v>
      </c>
    </row>
    <row r="120" spans="1:4">
      <c r="A120" s="162" t="s">
        <v>441</v>
      </c>
      <c r="B120" s="162"/>
      <c r="C120" s="162" t="s">
        <v>40</v>
      </c>
      <c r="D120" s="163" t="s">
        <v>335</v>
      </c>
    </row>
    <row r="121" spans="1:4">
      <c r="A121" s="162" t="s">
        <v>442</v>
      </c>
      <c r="B121" s="162"/>
      <c r="C121" s="162" t="s">
        <v>40</v>
      </c>
      <c r="D121" s="163" t="s">
        <v>337</v>
      </c>
    </row>
    <row r="122" spans="1:4">
      <c r="A122" s="162" t="s">
        <v>443</v>
      </c>
      <c r="B122" s="162"/>
      <c r="C122" s="162" t="s">
        <v>39</v>
      </c>
      <c r="D122" s="163" t="s">
        <v>340</v>
      </c>
    </row>
    <row r="123" spans="1:4">
      <c r="A123" s="162" t="s">
        <v>58</v>
      </c>
      <c r="B123" s="162"/>
      <c r="C123" s="162" t="s">
        <v>40</v>
      </c>
      <c r="D123" s="163" t="s">
        <v>337</v>
      </c>
    </row>
    <row r="124" spans="1:4">
      <c r="A124" s="162" t="s">
        <v>59</v>
      </c>
      <c r="B124" s="162"/>
      <c r="C124" s="162" t="s">
        <v>39</v>
      </c>
      <c r="D124" s="163" t="s">
        <v>335</v>
      </c>
    </row>
    <row r="125" spans="1:4">
      <c r="A125" s="164" t="s">
        <v>444</v>
      </c>
      <c r="B125" s="162"/>
      <c r="C125" s="162" t="s">
        <v>39</v>
      </c>
      <c r="D125" s="163" t="s">
        <v>335</v>
      </c>
    </row>
    <row r="126" spans="1:4">
      <c r="A126" s="162" t="s">
        <v>60</v>
      </c>
      <c r="B126" s="162"/>
      <c r="C126" s="162" t="s">
        <v>40</v>
      </c>
      <c r="D126" s="163" t="s">
        <v>337</v>
      </c>
    </row>
    <row r="127" spans="1:4">
      <c r="A127" s="162" t="s">
        <v>445</v>
      </c>
      <c r="B127" s="162"/>
      <c r="C127" s="162" t="s">
        <v>40</v>
      </c>
      <c r="D127" s="163" t="s">
        <v>337</v>
      </c>
    </row>
    <row r="128" spans="1:4">
      <c r="A128" s="162" t="s">
        <v>446</v>
      </c>
      <c r="B128" s="162"/>
      <c r="C128" s="162" t="s">
        <v>40</v>
      </c>
      <c r="D128" s="163" t="s">
        <v>337</v>
      </c>
    </row>
    <row r="129" spans="1:4">
      <c r="A129" s="162" t="s">
        <v>447</v>
      </c>
      <c r="B129" s="162"/>
      <c r="C129" s="162" t="s">
        <v>40</v>
      </c>
      <c r="D129" s="163" t="s">
        <v>337</v>
      </c>
    </row>
    <row r="130" spans="1:4">
      <c r="A130" s="162" t="s">
        <v>448</v>
      </c>
      <c r="B130" s="162"/>
      <c r="C130" s="162" t="s">
        <v>40</v>
      </c>
      <c r="D130" s="163" t="s">
        <v>337</v>
      </c>
    </row>
    <row r="131" spans="1:4">
      <c r="A131" s="162" t="s">
        <v>449</v>
      </c>
      <c r="B131" s="162"/>
      <c r="C131" s="162" t="s">
        <v>40</v>
      </c>
      <c r="D131" s="163" t="s">
        <v>337</v>
      </c>
    </row>
    <row r="132" spans="1:4">
      <c r="A132" s="164" t="s">
        <v>450</v>
      </c>
      <c r="B132" s="162"/>
      <c r="C132" s="162" t="s">
        <v>40</v>
      </c>
      <c r="D132" s="163" t="s">
        <v>335</v>
      </c>
    </row>
    <row r="133" spans="1:4">
      <c r="A133" s="164" t="s">
        <v>451</v>
      </c>
      <c r="B133" s="162"/>
      <c r="C133" s="162" t="s">
        <v>39</v>
      </c>
      <c r="D133" s="163" t="s">
        <v>335</v>
      </c>
    </row>
    <row r="134" spans="1:4">
      <c r="A134" s="164" t="s">
        <v>452</v>
      </c>
      <c r="B134" s="162"/>
      <c r="C134" s="162" t="s">
        <v>40</v>
      </c>
      <c r="D134" s="163" t="s">
        <v>335</v>
      </c>
    </row>
    <row r="135" spans="1:4">
      <c r="A135" s="162" t="s">
        <v>453</v>
      </c>
      <c r="B135" s="162"/>
      <c r="C135" s="162" t="s">
        <v>40</v>
      </c>
      <c r="D135" s="163" t="s">
        <v>337</v>
      </c>
    </row>
    <row r="136" spans="1:4">
      <c r="A136" s="164" t="s">
        <v>454</v>
      </c>
      <c r="B136" s="162"/>
      <c r="C136" s="162" t="s">
        <v>40</v>
      </c>
      <c r="D136" s="163" t="s">
        <v>335</v>
      </c>
    </row>
    <row r="137" spans="1:4">
      <c r="A137" s="162" t="s">
        <v>432</v>
      </c>
      <c r="B137" s="162"/>
      <c r="C137" s="162" t="s">
        <v>40</v>
      </c>
      <c r="D137" s="163" t="s">
        <v>337</v>
      </c>
    </row>
    <row r="138" spans="1:4">
      <c r="A138" s="162" t="s">
        <v>455</v>
      </c>
      <c r="B138" s="162"/>
      <c r="C138" s="162" t="s">
        <v>39</v>
      </c>
      <c r="D138" s="163" t="s">
        <v>340</v>
      </c>
    </row>
    <row r="139" spans="1:4">
      <c r="A139" s="162" t="s">
        <v>456</v>
      </c>
      <c r="B139" s="162"/>
      <c r="C139" s="162" t="s">
        <v>40</v>
      </c>
      <c r="D139" s="163" t="s">
        <v>337</v>
      </c>
    </row>
    <row r="140" spans="1:4">
      <c r="A140" s="162" t="s">
        <v>457</v>
      </c>
      <c r="B140" s="162"/>
      <c r="C140" s="162" t="s">
        <v>40</v>
      </c>
      <c r="D140" s="163" t="s">
        <v>337</v>
      </c>
    </row>
    <row r="141" spans="1:4">
      <c r="A141" s="162" t="s">
        <v>61</v>
      </c>
      <c r="B141" s="162"/>
      <c r="C141" s="162" t="s">
        <v>39</v>
      </c>
      <c r="D141" s="163" t="s">
        <v>340</v>
      </c>
    </row>
    <row r="142" spans="1:4">
      <c r="A142" s="162" t="s">
        <v>62</v>
      </c>
      <c r="B142" s="162"/>
      <c r="C142" s="162" t="s">
        <v>40</v>
      </c>
      <c r="D142" s="163" t="s">
        <v>337</v>
      </c>
    </row>
    <row r="143" spans="1:4">
      <c r="A143" s="162" t="s">
        <v>63</v>
      </c>
      <c r="B143" s="162"/>
      <c r="C143" s="162" t="s">
        <v>40</v>
      </c>
      <c r="D143" s="163" t="s">
        <v>337</v>
      </c>
    </row>
    <row r="144" spans="1:4">
      <c r="A144" s="162" t="s">
        <v>458</v>
      </c>
      <c r="B144" s="162"/>
      <c r="C144" s="162" t="s">
        <v>40</v>
      </c>
      <c r="D144" s="163" t="s">
        <v>337</v>
      </c>
    </row>
    <row r="145" spans="1:4">
      <c r="A145" s="162" t="s">
        <v>459</v>
      </c>
      <c r="B145" s="162"/>
      <c r="C145" s="162" t="s">
        <v>40</v>
      </c>
      <c r="D145" s="163" t="s">
        <v>460</v>
      </c>
    </row>
    <row r="146" spans="1:4">
      <c r="A146" s="162" t="s">
        <v>461</v>
      </c>
      <c r="B146" s="162"/>
      <c r="C146" s="162" t="s">
        <v>39</v>
      </c>
      <c r="D146" s="163" t="s">
        <v>462</v>
      </c>
    </row>
    <row r="147" spans="1:4">
      <c r="A147" s="162" t="s">
        <v>463</v>
      </c>
      <c r="B147" s="162"/>
      <c r="C147" s="162" t="s">
        <v>40</v>
      </c>
      <c r="D147" s="163" t="s">
        <v>337</v>
      </c>
    </row>
    <row r="148" spans="1:4">
      <c r="A148" s="164" t="s">
        <v>464</v>
      </c>
      <c r="B148" s="162"/>
      <c r="C148" s="162" t="s">
        <v>39</v>
      </c>
      <c r="D148" s="163" t="s">
        <v>335</v>
      </c>
    </row>
    <row r="149" spans="1:4">
      <c r="A149" s="162" t="s">
        <v>465</v>
      </c>
      <c r="B149" s="162"/>
      <c r="C149" s="162" t="s">
        <v>40</v>
      </c>
      <c r="D149" s="163" t="s">
        <v>337</v>
      </c>
    </row>
    <row r="150" spans="1:4">
      <c r="A150" s="162" t="s">
        <v>466</v>
      </c>
      <c r="B150" s="162"/>
      <c r="C150" s="162" t="s">
        <v>40</v>
      </c>
      <c r="D150" s="163" t="s">
        <v>337</v>
      </c>
    </row>
    <row r="151" spans="1:4">
      <c r="A151" s="162" t="s">
        <v>467</v>
      </c>
      <c r="B151" s="162"/>
      <c r="C151" s="162" t="s">
        <v>39</v>
      </c>
      <c r="D151" s="163" t="s">
        <v>340</v>
      </c>
    </row>
    <row r="152" spans="1:4">
      <c r="A152" s="162" t="s">
        <v>468</v>
      </c>
      <c r="B152" s="162"/>
      <c r="C152" s="162" t="s">
        <v>40</v>
      </c>
      <c r="D152" s="163" t="s">
        <v>337</v>
      </c>
    </row>
    <row r="153" spans="1:4">
      <c r="A153" s="162" t="s">
        <v>64</v>
      </c>
      <c r="B153" s="162"/>
      <c r="C153" s="162" t="s">
        <v>40</v>
      </c>
      <c r="D153" s="163" t="s">
        <v>337</v>
      </c>
    </row>
    <row r="154" spans="1:4">
      <c r="A154" s="162" t="s">
        <v>65</v>
      </c>
      <c r="B154" s="162"/>
      <c r="C154" s="162" t="s">
        <v>40</v>
      </c>
      <c r="D154" s="163" t="s">
        <v>337</v>
      </c>
    </row>
    <row r="155" spans="1:4">
      <c r="A155" s="162" t="s">
        <v>469</v>
      </c>
      <c r="B155" s="162"/>
      <c r="C155" s="162" t="s">
        <v>40</v>
      </c>
      <c r="D155" s="163" t="s">
        <v>337</v>
      </c>
    </row>
    <row r="156" spans="1:4">
      <c r="A156" s="164" t="s">
        <v>470</v>
      </c>
      <c r="B156" s="162"/>
      <c r="C156" s="162" t="s">
        <v>39</v>
      </c>
      <c r="D156" s="163" t="s">
        <v>335</v>
      </c>
    </row>
    <row r="157" spans="1:4">
      <c r="A157" s="164" t="s">
        <v>471</v>
      </c>
      <c r="B157" s="162"/>
      <c r="C157" s="162" t="s">
        <v>40</v>
      </c>
      <c r="D157" s="163" t="s">
        <v>335</v>
      </c>
    </row>
    <row r="158" spans="1:4">
      <c r="A158" s="162" t="s">
        <v>472</v>
      </c>
      <c r="B158" s="162"/>
      <c r="C158" s="162" t="s">
        <v>40</v>
      </c>
      <c r="D158" s="163" t="s">
        <v>337</v>
      </c>
    </row>
    <row r="159" spans="1:4">
      <c r="A159" s="164" t="s">
        <v>473</v>
      </c>
      <c r="B159" s="166"/>
      <c r="C159" s="167" t="s">
        <v>40</v>
      </c>
      <c r="D159" s="163" t="s">
        <v>335</v>
      </c>
    </row>
    <row r="160" spans="1:4">
      <c r="A160" s="164" t="s">
        <v>474</v>
      </c>
      <c r="B160" s="162"/>
      <c r="C160" s="162" t="s">
        <v>39</v>
      </c>
      <c r="D160" s="163" t="s">
        <v>335</v>
      </c>
    </row>
    <row r="161" spans="1:4">
      <c r="A161" s="164" t="s">
        <v>475</v>
      </c>
      <c r="B161" s="162"/>
      <c r="C161" s="162" t="s">
        <v>39</v>
      </c>
      <c r="D161" s="163" t="s">
        <v>335</v>
      </c>
    </row>
    <row r="162" spans="1:4">
      <c r="A162" s="164" t="s">
        <v>476</v>
      </c>
      <c r="B162" s="162"/>
      <c r="C162" s="162" t="s">
        <v>39</v>
      </c>
      <c r="D162" s="163" t="s">
        <v>335</v>
      </c>
    </row>
    <row r="163" spans="1:4">
      <c r="A163" s="164" t="s">
        <v>477</v>
      </c>
      <c r="B163" s="162"/>
      <c r="C163" s="162" t="s">
        <v>39</v>
      </c>
      <c r="D163" s="163" t="s">
        <v>335</v>
      </c>
    </row>
    <row r="164" spans="1:4">
      <c r="A164" s="162" t="s">
        <v>478</v>
      </c>
      <c r="B164" s="162"/>
      <c r="C164" s="162" t="s">
        <v>39</v>
      </c>
      <c r="D164" s="163" t="s">
        <v>340</v>
      </c>
    </row>
    <row r="165" spans="1:4">
      <c r="A165" s="162" t="s">
        <v>66</v>
      </c>
      <c r="B165" s="162"/>
      <c r="C165" s="162" t="s">
        <v>40</v>
      </c>
      <c r="D165" s="163" t="s">
        <v>337</v>
      </c>
    </row>
    <row r="166" spans="1:4">
      <c r="A166" s="164" t="s">
        <v>479</v>
      </c>
      <c r="B166" s="162"/>
      <c r="C166" s="162" t="s">
        <v>39</v>
      </c>
      <c r="D166" s="163" t="s">
        <v>335</v>
      </c>
    </row>
    <row r="167" spans="1:4">
      <c r="A167" s="162" t="s">
        <v>480</v>
      </c>
      <c r="B167" s="162"/>
      <c r="C167" s="162" t="s">
        <v>40</v>
      </c>
      <c r="D167" s="163" t="s">
        <v>335</v>
      </c>
    </row>
    <row r="168" spans="1:4">
      <c r="A168" s="162" t="s">
        <v>357</v>
      </c>
      <c r="B168" s="162"/>
      <c r="C168" s="162" t="s">
        <v>40</v>
      </c>
      <c r="D168" s="163" t="s">
        <v>337</v>
      </c>
    </row>
    <row r="169" spans="1:4">
      <c r="A169" s="162" t="s">
        <v>481</v>
      </c>
      <c r="B169" s="162"/>
      <c r="C169" s="162" t="s">
        <v>39</v>
      </c>
      <c r="D169" s="163" t="s">
        <v>343</v>
      </c>
    </row>
    <row r="170" spans="1:4">
      <c r="A170" s="162" t="s">
        <v>482</v>
      </c>
      <c r="B170" s="162"/>
      <c r="C170" s="162" t="s">
        <v>39</v>
      </c>
      <c r="D170" s="163" t="s">
        <v>340</v>
      </c>
    </row>
    <row r="171" spans="1:4">
      <c r="A171" s="162" t="s">
        <v>483</v>
      </c>
      <c r="B171" s="162"/>
      <c r="C171" s="162" t="s">
        <v>40</v>
      </c>
      <c r="D171" s="163" t="s">
        <v>337</v>
      </c>
    </row>
    <row r="172" spans="1:4">
      <c r="A172" s="162" t="s">
        <v>67</v>
      </c>
      <c r="B172" s="162"/>
      <c r="C172" s="162" t="s">
        <v>40</v>
      </c>
      <c r="D172" s="163" t="s">
        <v>337</v>
      </c>
    </row>
    <row r="173" spans="1:4">
      <c r="A173" s="162" t="s">
        <v>484</v>
      </c>
      <c r="B173" s="162"/>
      <c r="C173" s="162" t="s">
        <v>40</v>
      </c>
      <c r="D173" s="163" t="s">
        <v>337</v>
      </c>
    </row>
    <row r="174" spans="1:4">
      <c r="A174" s="162" t="s">
        <v>68</v>
      </c>
      <c r="B174" s="162"/>
      <c r="C174" s="162" t="s">
        <v>40</v>
      </c>
      <c r="D174" s="163" t="s">
        <v>337</v>
      </c>
    </row>
    <row r="175" spans="1:4">
      <c r="A175" s="162" t="s">
        <v>69</v>
      </c>
      <c r="B175" s="162"/>
      <c r="C175" s="162" t="s">
        <v>40</v>
      </c>
      <c r="D175" s="163" t="s">
        <v>337</v>
      </c>
    </row>
    <row r="176" spans="1:4">
      <c r="A176" s="162" t="s">
        <v>485</v>
      </c>
      <c r="B176" s="162"/>
      <c r="C176" s="162" t="s">
        <v>40</v>
      </c>
      <c r="D176" s="163" t="s">
        <v>337</v>
      </c>
    </row>
    <row r="177" spans="1:4">
      <c r="A177" s="162" t="s">
        <v>486</v>
      </c>
      <c r="B177" s="162"/>
      <c r="C177" s="162" t="s">
        <v>40</v>
      </c>
      <c r="D177" s="163" t="s">
        <v>337</v>
      </c>
    </row>
    <row r="178" spans="1:4">
      <c r="A178" s="162" t="s">
        <v>487</v>
      </c>
      <c r="B178" s="162"/>
      <c r="C178" s="162" t="s">
        <v>40</v>
      </c>
      <c r="D178" s="163" t="s">
        <v>337</v>
      </c>
    </row>
    <row r="179" spans="1:4">
      <c r="A179" s="162" t="s">
        <v>488</v>
      </c>
      <c r="B179" s="162"/>
      <c r="C179" s="162" t="s">
        <v>40</v>
      </c>
      <c r="D179" s="163" t="s">
        <v>337</v>
      </c>
    </row>
    <row r="180" spans="1:4">
      <c r="A180" s="162" t="s">
        <v>489</v>
      </c>
      <c r="B180" s="162"/>
      <c r="C180" s="162" t="s">
        <v>39</v>
      </c>
      <c r="D180" s="163" t="s">
        <v>335</v>
      </c>
    </row>
    <row r="181" spans="1:4">
      <c r="A181" s="162" t="s">
        <v>490</v>
      </c>
      <c r="B181" s="162"/>
      <c r="C181" s="162" t="s">
        <v>39</v>
      </c>
      <c r="D181" s="163" t="s">
        <v>335</v>
      </c>
    </row>
    <row r="182" spans="1:4">
      <c r="A182" s="162" t="s">
        <v>491</v>
      </c>
      <c r="B182" s="162"/>
      <c r="C182" s="162" t="s">
        <v>40</v>
      </c>
      <c r="D182" s="163" t="s">
        <v>337</v>
      </c>
    </row>
    <row r="183" spans="1:4">
      <c r="A183" s="162" t="s">
        <v>492</v>
      </c>
      <c r="B183" s="162"/>
      <c r="C183" s="162" t="s">
        <v>39</v>
      </c>
      <c r="D183" s="163" t="s">
        <v>335</v>
      </c>
    </row>
    <row r="184" spans="1:4">
      <c r="A184" s="162" t="s">
        <v>493</v>
      </c>
      <c r="B184" s="162"/>
      <c r="C184" s="162" t="s">
        <v>40</v>
      </c>
      <c r="D184" s="163" t="s">
        <v>337</v>
      </c>
    </row>
    <row r="185" spans="1:4">
      <c r="A185" s="162" t="s">
        <v>494</v>
      </c>
      <c r="B185" s="162"/>
      <c r="C185" s="162" t="s">
        <v>39</v>
      </c>
      <c r="D185" s="163" t="s">
        <v>340</v>
      </c>
    </row>
    <row r="186" spans="1:4">
      <c r="A186" s="162" t="s">
        <v>70</v>
      </c>
      <c r="B186" s="162"/>
      <c r="C186" s="162" t="s">
        <v>39</v>
      </c>
      <c r="D186" s="163" t="s">
        <v>335</v>
      </c>
    </row>
    <row r="187" spans="1:4">
      <c r="A187" s="162" t="s">
        <v>495</v>
      </c>
      <c r="B187" s="162"/>
      <c r="C187" s="162" t="s">
        <v>40</v>
      </c>
      <c r="D187" s="163" t="s">
        <v>337</v>
      </c>
    </row>
    <row r="188" spans="1:4">
      <c r="A188" s="162" t="s">
        <v>71</v>
      </c>
      <c r="B188" s="162"/>
      <c r="C188" s="162" t="s">
        <v>40</v>
      </c>
      <c r="D188" s="163" t="s">
        <v>337</v>
      </c>
    </row>
    <row r="189" spans="1:4">
      <c r="A189" s="162" t="s">
        <v>364</v>
      </c>
      <c r="B189" s="162"/>
      <c r="C189" s="162" t="s">
        <v>40</v>
      </c>
      <c r="D189" s="163" t="s">
        <v>337</v>
      </c>
    </row>
    <row r="190" spans="1:4">
      <c r="A190" s="162" t="s">
        <v>496</v>
      </c>
      <c r="B190" s="162"/>
      <c r="C190" s="162" t="s">
        <v>40</v>
      </c>
      <c r="D190" s="163" t="s">
        <v>337</v>
      </c>
    </row>
    <row r="191" spans="1:4">
      <c r="A191" s="162" t="s">
        <v>497</v>
      </c>
      <c r="B191" s="162"/>
      <c r="C191" s="162" t="s">
        <v>39</v>
      </c>
      <c r="D191" s="163" t="s">
        <v>462</v>
      </c>
    </row>
    <row r="192" spans="1:4">
      <c r="A192" s="162" t="s">
        <v>498</v>
      </c>
      <c r="B192" s="162"/>
      <c r="C192" s="162" t="s">
        <v>39</v>
      </c>
      <c r="D192" s="163" t="s">
        <v>340</v>
      </c>
    </row>
    <row r="193" spans="1:4">
      <c r="A193" s="162" t="s">
        <v>499</v>
      </c>
      <c r="B193" s="162"/>
      <c r="C193" s="162" t="s">
        <v>40</v>
      </c>
      <c r="D193" s="163" t="s">
        <v>337</v>
      </c>
    </row>
    <row r="194" spans="1:4">
      <c r="A194" s="162" t="s">
        <v>500</v>
      </c>
      <c r="B194" s="162"/>
      <c r="C194" s="162" t="s">
        <v>40</v>
      </c>
      <c r="D194" s="163" t="s">
        <v>335</v>
      </c>
    </row>
    <row r="195" spans="1:4">
      <c r="A195" s="162" t="s">
        <v>54</v>
      </c>
      <c r="B195" s="162"/>
      <c r="C195" s="162" t="s">
        <v>39</v>
      </c>
      <c r="D195" s="163" t="s">
        <v>335</v>
      </c>
    </row>
    <row r="196" spans="1:4">
      <c r="A196" s="162" t="s">
        <v>501</v>
      </c>
      <c r="B196" s="162"/>
      <c r="C196" s="162" t="s">
        <v>40</v>
      </c>
      <c r="D196" s="163" t="s">
        <v>335</v>
      </c>
    </row>
    <row r="197" spans="1:4">
      <c r="A197" s="162" t="s">
        <v>502</v>
      </c>
      <c r="B197" s="162"/>
      <c r="C197" s="162" t="s">
        <v>40</v>
      </c>
      <c r="D197" s="163" t="s">
        <v>337</v>
      </c>
    </row>
    <row r="198" spans="1:4">
      <c r="A198" s="162" t="s">
        <v>503</v>
      </c>
      <c r="B198" s="162"/>
      <c r="C198" s="162" t="s">
        <v>40</v>
      </c>
      <c r="D198" s="163" t="s">
        <v>337</v>
      </c>
    </row>
    <row r="199" spans="1:4">
      <c r="A199" s="162" t="s">
        <v>421</v>
      </c>
      <c r="B199" s="162"/>
      <c r="C199" s="162" t="s">
        <v>40</v>
      </c>
      <c r="D199" s="163" t="s">
        <v>337</v>
      </c>
    </row>
    <row r="200" spans="1:4">
      <c r="A200" s="162" t="s">
        <v>504</v>
      </c>
      <c r="B200" s="162"/>
      <c r="C200" s="162" t="s">
        <v>39</v>
      </c>
      <c r="D200" s="163" t="s">
        <v>340</v>
      </c>
    </row>
    <row r="201" spans="1:4">
      <c r="A201" s="162" t="s">
        <v>505</v>
      </c>
      <c r="B201" s="162"/>
      <c r="C201" s="162" t="s">
        <v>40</v>
      </c>
      <c r="D201" s="163" t="s">
        <v>337</v>
      </c>
    </row>
    <row r="202" spans="1:4">
      <c r="A202" s="162" t="s">
        <v>506</v>
      </c>
      <c r="B202" s="162"/>
      <c r="C202" s="162" t="s">
        <v>40</v>
      </c>
      <c r="D202" s="163" t="s">
        <v>335</v>
      </c>
    </row>
    <row r="203" spans="1:4">
      <c r="A203" s="162" t="s">
        <v>507</v>
      </c>
      <c r="B203" s="162"/>
      <c r="C203" s="162" t="s">
        <v>39</v>
      </c>
      <c r="D203" s="163" t="s">
        <v>335</v>
      </c>
    </row>
    <row r="204" spans="1:4">
      <c r="A204" s="162" t="s">
        <v>508</v>
      </c>
      <c r="B204" s="162"/>
      <c r="C204" s="162" t="s">
        <v>40</v>
      </c>
      <c r="D204" s="163" t="s">
        <v>335</v>
      </c>
    </row>
    <row r="205" spans="1:4">
      <c r="A205" s="162" t="s">
        <v>509</v>
      </c>
      <c r="B205" s="162"/>
      <c r="C205" s="162" t="s">
        <v>40</v>
      </c>
      <c r="D205" s="163" t="s">
        <v>337</v>
      </c>
    </row>
    <row r="206" spans="1:4">
      <c r="A206" s="162" t="s">
        <v>72</v>
      </c>
      <c r="B206" s="162"/>
      <c r="C206" s="162" t="s">
        <v>39</v>
      </c>
      <c r="D206" s="163" t="s">
        <v>335</v>
      </c>
    </row>
    <row r="207" spans="1:4">
      <c r="A207" s="162" t="s">
        <v>73</v>
      </c>
      <c r="B207" s="162"/>
      <c r="C207" s="162" t="s">
        <v>40</v>
      </c>
      <c r="D207" s="163" t="s">
        <v>337</v>
      </c>
    </row>
    <row r="208" spans="1:4">
      <c r="A208" s="162" t="s">
        <v>510</v>
      </c>
      <c r="B208" s="162"/>
      <c r="C208" s="162" t="s">
        <v>40</v>
      </c>
      <c r="D208" s="163" t="s">
        <v>337</v>
      </c>
    </row>
    <row r="209" spans="1:4">
      <c r="A209" s="162" t="s">
        <v>511</v>
      </c>
      <c r="B209" s="162"/>
      <c r="C209" s="162" t="s">
        <v>40</v>
      </c>
      <c r="D209" s="163" t="s">
        <v>335</v>
      </c>
    </row>
    <row r="210" spans="1:4">
      <c r="A210" s="162" t="s">
        <v>512</v>
      </c>
      <c r="B210" s="162"/>
      <c r="C210" s="162" t="s">
        <v>39</v>
      </c>
      <c r="D210" s="163" t="s">
        <v>335</v>
      </c>
    </row>
    <row r="211" spans="1:4">
      <c r="A211" s="162" t="s">
        <v>513</v>
      </c>
      <c r="B211" s="162"/>
      <c r="C211" s="162" t="s">
        <v>40</v>
      </c>
      <c r="D211" s="163" t="s">
        <v>335</v>
      </c>
    </row>
    <row r="212" spans="1:4">
      <c r="A212" s="162" t="s">
        <v>74</v>
      </c>
      <c r="B212" s="162"/>
      <c r="C212" s="162" t="s">
        <v>39</v>
      </c>
      <c r="D212" s="163" t="s">
        <v>343</v>
      </c>
    </row>
    <row r="213" spans="1:4">
      <c r="A213" s="162" t="s">
        <v>514</v>
      </c>
      <c r="B213" s="162"/>
      <c r="C213" s="162" t="s">
        <v>40</v>
      </c>
      <c r="D213" s="163" t="s">
        <v>337</v>
      </c>
    </row>
    <row r="214" spans="1:4">
      <c r="A214" s="162" t="s">
        <v>515</v>
      </c>
      <c r="B214" s="162"/>
      <c r="C214" s="162" t="s">
        <v>40</v>
      </c>
      <c r="D214" s="163" t="s">
        <v>337</v>
      </c>
    </row>
    <row r="215" spans="1:4">
      <c r="A215" s="162" t="s">
        <v>516</v>
      </c>
      <c r="B215" s="162"/>
      <c r="C215" s="162" t="s">
        <v>40</v>
      </c>
      <c r="D215" s="163" t="s">
        <v>335</v>
      </c>
    </row>
    <row r="216" spans="1:4">
      <c r="A216" s="162" t="s">
        <v>517</v>
      </c>
      <c r="B216" s="162"/>
      <c r="C216" s="162" t="s">
        <v>39</v>
      </c>
      <c r="D216" s="163" t="s">
        <v>335</v>
      </c>
    </row>
    <row r="217" spans="1:4">
      <c r="A217" s="162" t="s">
        <v>518</v>
      </c>
      <c r="B217" s="162"/>
      <c r="C217" s="162" t="s">
        <v>40</v>
      </c>
      <c r="D217" s="163" t="s">
        <v>335</v>
      </c>
    </row>
    <row r="218" spans="1:4">
      <c r="A218" s="162" t="s">
        <v>519</v>
      </c>
      <c r="B218" s="162"/>
      <c r="C218" s="162" t="s">
        <v>39</v>
      </c>
      <c r="D218" s="163" t="s">
        <v>335</v>
      </c>
    </row>
    <row r="219" spans="1:4">
      <c r="A219" s="162" t="s">
        <v>520</v>
      </c>
      <c r="B219" s="162"/>
      <c r="C219" s="162" t="s">
        <v>40</v>
      </c>
      <c r="D219" s="163" t="s">
        <v>335</v>
      </c>
    </row>
    <row r="220" spans="1:4">
      <c r="A220" s="162" t="s">
        <v>521</v>
      </c>
      <c r="B220" s="162"/>
      <c r="C220" s="162" t="s">
        <v>39</v>
      </c>
      <c r="D220" s="163" t="s">
        <v>335</v>
      </c>
    </row>
    <row r="221" spans="1:4">
      <c r="A221" s="162" t="s">
        <v>396</v>
      </c>
      <c r="B221" s="162"/>
      <c r="C221" s="162" t="s">
        <v>39</v>
      </c>
      <c r="D221" s="163" t="s">
        <v>340</v>
      </c>
    </row>
    <row r="222" spans="1:4">
      <c r="A222" s="162" t="s">
        <v>389</v>
      </c>
      <c r="B222" s="162"/>
      <c r="C222" s="162" t="s">
        <v>40</v>
      </c>
      <c r="D222" s="163" t="s">
        <v>337</v>
      </c>
    </row>
    <row r="223" spans="1:4">
      <c r="A223" s="162" t="s">
        <v>522</v>
      </c>
      <c r="B223" s="162"/>
      <c r="C223" s="162" t="s">
        <v>40</v>
      </c>
      <c r="D223" s="163" t="s">
        <v>337</v>
      </c>
    </row>
    <row r="224" spans="1:4">
      <c r="A224" s="162" t="s">
        <v>523</v>
      </c>
      <c r="B224" s="162"/>
      <c r="C224" s="162" t="s">
        <v>40</v>
      </c>
      <c r="D224" s="163" t="s">
        <v>337</v>
      </c>
    </row>
    <row r="225" spans="1:4">
      <c r="A225" s="162" t="s">
        <v>524</v>
      </c>
      <c r="B225" s="162"/>
      <c r="C225" s="162" t="s">
        <v>40</v>
      </c>
      <c r="D225" s="163" t="s">
        <v>337</v>
      </c>
    </row>
    <row r="226" spans="1:4">
      <c r="A226" s="162" t="s">
        <v>499</v>
      </c>
      <c r="B226" s="162"/>
      <c r="C226" s="162" t="s">
        <v>40</v>
      </c>
      <c r="D226" s="163" t="s">
        <v>337</v>
      </c>
    </row>
    <row r="227" spans="1:4">
      <c r="A227" s="162" t="s">
        <v>525</v>
      </c>
      <c r="B227" s="162"/>
      <c r="C227" s="162" t="s">
        <v>40</v>
      </c>
      <c r="D227" s="163" t="s">
        <v>335</v>
      </c>
    </row>
    <row r="228" spans="1:4">
      <c r="A228" s="162" t="s">
        <v>526</v>
      </c>
      <c r="B228" s="165" t="s">
        <v>527</v>
      </c>
      <c r="C228" s="165" t="s">
        <v>39</v>
      </c>
      <c r="D228" s="163" t="s">
        <v>335</v>
      </c>
    </row>
    <row r="229" spans="1:4">
      <c r="A229" s="162" t="s">
        <v>526</v>
      </c>
      <c r="B229" s="165" t="s">
        <v>528</v>
      </c>
      <c r="C229" s="165" t="s">
        <v>39</v>
      </c>
      <c r="D229" s="163" t="s">
        <v>335</v>
      </c>
    </row>
    <row r="230" spans="1:4">
      <c r="A230" s="162" t="s">
        <v>526</v>
      </c>
      <c r="B230" s="165" t="s">
        <v>526</v>
      </c>
      <c r="C230" s="165" t="s">
        <v>39</v>
      </c>
      <c r="D230" s="163" t="s">
        <v>335</v>
      </c>
    </row>
    <row r="231" spans="1:4">
      <c r="A231" s="162" t="s">
        <v>529</v>
      </c>
      <c r="B231" s="162"/>
      <c r="C231" s="162" t="s">
        <v>40</v>
      </c>
      <c r="D231" s="163" t="s">
        <v>335</v>
      </c>
    </row>
    <row r="232" spans="1:4">
      <c r="A232" s="162" t="s">
        <v>530</v>
      </c>
      <c r="B232" s="162"/>
      <c r="C232" s="162" t="s">
        <v>40</v>
      </c>
      <c r="D232" s="163" t="s">
        <v>337</v>
      </c>
    </row>
    <row r="233" spans="1:4">
      <c r="A233" s="161" t="s">
        <v>75</v>
      </c>
      <c r="B233" s="162"/>
      <c r="C233" s="162" t="s">
        <v>39</v>
      </c>
      <c r="D233" s="163" t="s">
        <v>340</v>
      </c>
    </row>
    <row r="234" spans="1:4">
      <c r="A234" s="162" t="s">
        <v>76</v>
      </c>
      <c r="B234" s="162"/>
      <c r="C234" s="162" t="s">
        <v>40</v>
      </c>
      <c r="D234" s="163" t="s">
        <v>337</v>
      </c>
    </row>
    <row r="235" spans="1:4">
      <c r="A235" s="162" t="s">
        <v>376</v>
      </c>
      <c r="B235" s="162"/>
      <c r="C235" s="162" t="s">
        <v>39</v>
      </c>
      <c r="D235" s="163" t="s">
        <v>335</v>
      </c>
    </row>
    <row r="236" spans="1:4">
      <c r="A236" s="162" t="s">
        <v>531</v>
      </c>
      <c r="B236" s="162"/>
      <c r="C236" s="162" t="s">
        <v>40</v>
      </c>
      <c r="D236" s="163" t="s">
        <v>337</v>
      </c>
    </row>
    <row r="237" spans="1:4">
      <c r="A237" s="161" t="s">
        <v>532</v>
      </c>
      <c r="B237" s="162"/>
      <c r="C237" s="162" t="s">
        <v>39</v>
      </c>
      <c r="D237" s="163" t="s">
        <v>340</v>
      </c>
    </row>
    <row r="238" spans="1:4">
      <c r="A238" s="162" t="s">
        <v>77</v>
      </c>
      <c r="B238" s="162"/>
      <c r="C238" s="162" t="s">
        <v>40</v>
      </c>
      <c r="D238" s="163" t="s">
        <v>337</v>
      </c>
    </row>
    <row r="239" spans="1:4">
      <c r="A239" s="162" t="s">
        <v>78</v>
      </c>
      <c r="B239" s="162"/>
      <c r="C239" s="162" t="s">
        <v>39</v>
      </c>
      <c r="D239" s="163" t="s">
        <v>335</v>
      </c>
    </row>
    <row r="240" spans="1:4">
      <c r="A240" s="163" t="s">
        <v>533</v>
      </c>
      <c r="B240" s="162"/>
      <c r="C240" s="162" t="s">
        <v>40</v>
      </c>
      <c r="D240" s="163" t="s">
        <v>337</v>
      </c>
    </row>
    <row r="241" spans="1:4">
      <c r="A241" s="161" t="s">
        <v>534</v>
      </c>
      <c r="B241" s="162"/>
      <c r="C241" s="162" t="s">
        <v>40</v>
      </c>
      <c r="D241" s="163" t="s">
        <v>337</v>
      </c>
    </row>
    <row r="242" spans="1:4">
      <c r="A242" s="162" t="s">
        <v>535</v>
      </c>
      <c r="B242" s="162"/>
      <c r="C242" s="162" t="s">
        <v>40</v>
      </c>
      <c r="D242" s="163" t="s">
        <v>337</v>
      </c>
    </row>
    <row r="243" spans="1:4">
      <c r="A243" s="162" t="s">
        <v>536</v>
      </c>
      <c r="B243" s="162"/>
      <c r="C243" s="162" t="s">
        <v>40</v>
      </c>
      <c r="D243" s="163" t="s">
        <v>337</v>
      </c>
    </row>
    <row r="244" spans="1:4">
      <c r="A244" s="162" t="s">
        <v>537</v>
      </c>
      <c r="B244" s="162"/>
      <c r="C244" s="162" t="s">
        <v>40</v>
      </c>
      <c r="D244" s="163" t="s">
        <v>337</v>
      </c>
    </row>
    <row r="245" spans="1:4">
      <c r="A245" s="162" t="s">
        <v>538</v>
      </c>
      <c r="B245" s="162"/>
      <c r="C245" s="162" t="s">
        <v>40</v>
      </c>
      <c r="D245" s="163" t="s">
        <v>460</v>
      </c>
    </row>
    <row r="246" spans="1:4">
      <c r="A246" s="162" t="s">
        <v>539</v>
      </c>
      <c r="B246" s="162"/>
      <c r="C246" s="162" t="s">
        <v>39</v>
      </c>
      <c r="D246" s="163" t="s">
        <v>539</v>
      </c>
    </row>
    <row r="247" spans="1:4">
      <c r="A247" s="161" t="s">
        <v>79</v>
      </c>
      <c r="B247" s="162"/>
      <c r="C247" s="162" t="s">
        <v>39</v>
      </c>
      <c r="D247" s="163" t="s">
        <v>340</v>
      </c>
    </row>
    <row r="248" spans="1:4">
      <c r="A248" s="162" t="s">
        <v>540</v>
      </c>
      <c r="B248" s="162"/>
      <c r="C248" s="162" t="s">
        <v>39</v>
      </c>
      <c r="D248" s="163" t="s">
        <v>340</v>
      </c>
    </row>
    <row r="249" spans="1:4">
      <c r="A249" s="162" t="s">
        <v>541</v>
      </c>
      <c r="B249" s="162"/>
      <c r="C249" s="162" t="s">
        <v>40</v>
      </c>
      <c r="D249" s="163" t="s">
        <v>335</v>
      </c>
    </row>
    <row r="250" spans="1:4">
      <c r="A250" s="162" t="s">
        <v>542</v>
      </c>
      <c r="B250" s="162"/>
      <c r="C250" s="162" t="s">
        <v>39</v>
      </c>
      <c r="D250" s="163" t="s">
        <v>335</v>
      </c>
    </row>
    <row r="251" spans="1:4">
      <c r="A251" s="162" t="s">
        <v>543</v>
      </c>
      <c r="B251" s="162"/>
      <c r="C251" s="162" t="s">
        <v>40</v>
      </c>
      <c r="D251" s="163" t="s">
        <v>335</v>
      </c>
    </row>
    <row r="252" spans="1:4">
      <c r="A252" s="162" t="s">
        <v>544</v>
      </c>
      <c r="B252" s="162"/>
      <c r="C252" s="162" t="s">
        <v>40</v>
      </c>
      <c r="D252" s="163" t="s">
        <v>337</v>
      </c>
    </row>
    <row r="253" spans="1:4">
      <c r="A253" s="162" t="s">
        <v>545</v>
      </c>
      <c r="B253" s="165" t="s">
        <v>546</v>
      </c>
      <c r="C253" s="165" t="s">
        <v>39</v>
      </c>
      <c r="D253" s="163" t="s">
        <v>335</v>
      </c>
    </row>
    <row r="254" spans="1:4">
      <c r="A254" s="162" t="s">
        <v>547</v>
      </c>
      <c r="B254" s="162" t="s">
        <v>546</v>
      </c>
      <c r="C254" s="162" t="s">
        <v>39</v>
      </c>
      <c r="D254" s="163" t="s">
        <v>335</v>
      </c>
    </row>
    <row r="255" spans="1:4">
      <c r="A255" s="162" t="s">
        <v>548</v>
      </c>
      <c r="B255" s="162" t="s">
        <v>546</v>
      </c>
      <c r="C255" s="162" t="s">
        <v>39</v>
      </c>
      <c r="D255" s="163" t="s">
        <v>340</v>
      </c>
    </row>
    <row r="256" spans="1:4">
      <c r="A256" s="168" t="s">
        <v>549</v>
      </c>
      <c r="B256" s="162" t="s">
        <v>546</v>
      </c>
      <c r="C256" s="162" t="s">
        <v>39</v>
      </c>
      <c r="D256" s="163" t="s">
        <v>337</v>
      </c>
    </row>
    <row r="257" spans="1:4">
      <c r="A257" s="168" t="s">
        <v>550</v>
      </c>
      <c r="B257" s="162" t="s">
        <v>546</v>
      </c>
      <c r="C257" s="162" t="s">
        <v>39</v>
      </c>
      <c r="D257" s="163"/>
    </row>
    <row r="258" spans="1:4">
      <c r="A258" s="162" t="s">
        <v>551</v>
      </c>
      <c r="B258" s="162" t="s">
        <v>546</v>
      </c>
      <c r="C258" s="162" t="s">
        <v>39</v>
      </c>
      <c r="D258" s="163" t="s">
        <v>462</v>
      </c>
    </row>
    <row r="259" spans="1:4">
      <c r="A259" s="162" t="s">
        <v>552</v>
      </c>
      <c r="B259" s="162"/>
      <c r="C259" s="162" t="s">
        <v>40</v>
      </c>
      <c r="D259" s="163" t="s">
        <v>337</v>
      </c>
    </row>
    <row r="260" spans="1:4">
      <c r="A260" s="162" t="s">
        <v>553</v>
      </c>
      <c r="B260" s="162"/>
      <c r="C260" s="162" t="s">
        <v>39</v>
      </c>
      <c r="D260" s="163" t="s">
        <v>462</v>
      </c>
    </row>
    <row r="261" spans="1:4">
      <c r="A261" s="162" t="s">
        <v>554</v>
      </c>
      <c r="B261" s="162"/>
      <c r="C261" s="162" t="s">
        <v>39</v>
      </c>
      <c r="D261" s="163" t="s">
        <v>335</v>
      </c>
    </row>
    <row r="262" spans="1:4">
      <c r="A262" s="162" t="s">
        <v>80</v>
      </c>
      <c r="B262" s="162"/>
      <c r="C262" s="162" t="s">
        <v>40</v>
      </c>
      <c r="D262" s="163" t="s">
        <v>337</v>
      </c>
    </row>
    <row r="263" spans="1:4">
      <c r="A263" s="162" t="s">
        <v>555</v>
      </c>
      <c r="B263" s="162"/>
      <c r="C263" s="162" t="s">
        <v>40</v>
      </c>
      <c r="D263" s="163" t="s">
        <v>337</v>
      </c>
    </row>
    <row r="264" spans="1:4">
      <c r="A264" s="162" t="s">
        <v>556</v>
      </c>
      <c r="B264" s="162"/>
      <c r="C264" s="162" t="s">
        <v>39</v>
      </c>
      <c r="D264" s="163" t="s">
        <v>335</v>
      </c>
    </row>
    <row r="265" spans="1:4">
      <c r="A265" s="162" t="s">
        <v>557</v>
      </c>
      <c r="B265" s="162"/>
      <c r="C265" s="162" t="s">
        <v>39</v>
      </c>
      <c r="D265" s="163" t="s">
        <v>335</v>
      </c>
    </row>
    <row r="266" spans="1:4">
      <c r="A266" s="162" t="s">
        <v>558</v>
      </c>
      <c r="B266" s="162"/>
      <c r="C266" s="162" t="s">
        <v>39</v>
      </c>
      <c r="D266" s="163" t="s">
        <v>335</v>
      </c>
    </row>
    <row r="267" spans="1:4">
      <c r="A267" s="162" t="s">
        <v>81</v>
      </c>
      <c r="B267" s="162"/>
      <c r="C267" s="162" t="s">
        <v>40</v>
      </c>
      <c r="D267" s="163" t="s">
        <v>337</v>
      </c>
    </row>
    <row r="268" spans="1:4">
      <c r="A268" s="162" t="s">
        <v>82</v>
      </c>
      <c r="B268" s="162"/>
      <c r="C268" s="162" t="s">
        <v>39</v>
      </c>
      <c r="D268" s="163" t="s">
        <v>335</v>
      </c>
    </row>
    <row r="269" spans="1:4">
      <c r="A269" s="162" t="s">
        <v>559</v>
      </c>
      <c r="B269" s="162"/>
      <c r="C269" s="162" t="s">
        <v>39</v>
      </c>
      <c r="D269" s="163" t="s">
        <v>340</v>
      </c>
    </row>
    <row r="270" spans="1:4">
      <c r="A270" s="162" t="s">
        <v>560</v>
      </c>
      <c r="B270" s="162"/>
      <c r="C270" s="162" t="s">
        <v>39</v>
      </c>
      <c r="D270" s="163" t="s">
        <v>335</v>
      </c>
    </row>
    <row r="271" spans="1:4">
      <c r="A271" s="162" t="s">
        <v>561</v>
      </c>
      <c r="B271" s="162"/>
      <c r="C271" s="162" t="s">
        <v>40</v>
      </c>
      <c r="D271" s="163" t="s">
        <v>335</v>
      </c>
    </row>
    <row r="272" spans="1:4">
      <c r="A272" s="162" t="s">
        <v>562</v>
      </c>
      <c r="B272" s="162"/>
      <c r="C272" s="162" t="s">
        <v>40</v>
      </c>
      <c r="D272" s="163" t="s">
        <v>335</v>
      </c>
    </row>
    <row r="273" spans="1:4">
      <c r="A273" s="162" t="s">
        <v>563</v>
      </c>
      <c r="B273" s="162"/>
      <c r="C273" s="162" t="s">
        <v>39</v>
      </c>
      <c r="D273" s="163" t="s">
        <v>343</v>
      </c>
    </row>
    <row r="274" spans="1:4">
      <c r="A274" s="162" t="s">
        <v>564</v>
      </c>
      <c r="B274" s="162"/>
      <c r="C274" s="162" t="s">
        <v>40</v>
      </c>
      <c r="D274" s="163" t="s">
        <v>335</v>
      </c>
    </row>
    <row r="275" spans="1:4">
      <c r="A275" s="162" t="s">
        <v>565</v>
      </c>
      <c r="B275" s="161"/>
      <c r="C275" s="161" t="s">
        <v>39</v>
      </c>
      <c r="D275" s="163" t="s">
        <v>335</v>
      </c>
    </row>
    <row r="276" spans="1:4">
      <c r="A276" s="162" t="s">
        <v>566</v>
      </c>
      <c r="B276" s="162"/>
      <c r="C276" s="162" t="s">
        <v>40</v>
      </c>
      <c r="D276" s="163" t="s">
        <v>335</v>
      </c>
    </row>
    <row r="277" spans="1:4">
      <c r="A277" s="162" t="s">
        <v>567</v>
      </c>
      <c r="B277" s="162"/>
      <c r="C277" s="162" t="s">
        <v>39</v>
      </c>
      <c r="D277" s="163" t="s">
        <v>343</v>
      </c>
    </row>
    <row r="278" spans="1:4">
      <c r="A278" s="162" t="s">
        <v>568</v>
      </c>
      <c r="B278" s="162"/>
      <c r="C278" s="162" t="s">
        <v>40</v>
      </c>
      <c r="D278" s="163" t="s">
        <v>337</v>
      </c>
    </row>
    <row r="279" spans="1:4">
      <c r="A279" s="162" t="s">
        <v>442</v>
      </c>
      <c r="B279" s="162"/>
      <c r="C279" s="162" t="s">
        <v>40</v>
      </c>
      <c r="D279" s="163" t="s">
        <v>337</v>
      </c>
    </row>
    <row r="280" spans="1:4">
      <c r="A280" s="162" t="s">
        <v>569</v>
      </c>
      <c r="B280" s="162"/>
      <c r="C280" s="162" t="s">
        <v>39</v>
      </c>
      <c r="D280" s="163" t="s">
        <v>335</v>
      </c>
    </row>
    <row r="281" spans="1:4">
      <c r="A281" s="162" t="s">
        <v>570</v>
      </c>
      <c r="B281" s="162"/>
      <c r="C281" s="162" t="s">
        <v>40</v>
      </c>
      <c r="D281" s="163" t="s">
        <v>337</v>
      </c>
    </row>
    <row r="282" spans="1:4">
      <c r="A282" s="162" t="s">
        <v>571</v>
      </c>
      <c r="B282" s="162"/>
      <c r="C282" s="162" t="s">
        <v>39</v>
      </c>
      <c r="D282" s="163" t="s">
        <v>335</v>
      </c>
    </row>
    <row r="283" spans="1:4">
      <c r="A283" s="162" t="s">
        <v>572</v>
      </c>
      <c r="B283" s="162"/>
      <c r="C283" s="162" t="s">
        <v>40</v>
      </c>
      <c r="D283" s="163" t="s">
        <v>335</v>
      </c>
    </row>
    <row r="284" spans="1:4">
      <c r="A284" s="162" t="s">
        <v>573</v>
      </c>
      <c r="B284" s="162"/>
      <c r="C284" s="162" t="s">
        <v>39</v>
      </c>
      <c r="D284" s="163" t="s">
        <v>343</v>
      </c>
    </row>
    <row r="285" spans="1:4">
      <c r="A285" s="162" t="s">
        <v>574</v>
      </c>
      <c r="B285" s="162"/>
      <c r="C285" s="162" t="s">
        <v>39</v>
      </c>
      <c r="D285" s="163" t="s">
        <v>335</v>
      </c>
    </row>
    <row r="286" spans="1:4">
      <c r="A286" s="162" t="s">
        <v>83</v>
      </c>
      <c r="B286" s="162"/>
      <c r="C286" s="162" t="s">
        <v>39</v>
      </c>
      <c r="D286" s="163" t="s">
        <v>335</v>
      </c>
    </row>
    <row r="287" spans="1:4">
      <c r="A287" s="162" t="s">
        <v>575</v>
      </c>
      <c r="B287" s="162"/>
      <c r="C287" s="162" t="s">
        <v>40</v>
      </c>
      <c r="D287" s="163" t="s">
        <v>335</v>
      </c>
    </row>
    <row r="288" spans="1:4">
      <c r="A288" s="162" t="s">
        <v>576</v>
      </c>
      <c r="B288" s="162"/>
      <c r="C288" s="162" t="s">
        <v>39</v>
      </c>
      <c r="D288" s="163" t="s">
        <v>335</v>
      </c>
    </row>
    <row r="289" spans="1:4">
      <c r="A289" s="162" t="s">
        <v>577</v>
      </c>
      <c r="B289" s="162"/>
      <c r="C289" s="162" t="s">
        <v>40</v>
      </c>
      <c r="D289" s="163" t="s">
        <v>335</v>
      </c>
    </row>
    <row r="290" spans="1:4">
      <c r="A290" s="162" t="s">
        <v>578</v>
      </c>
      <c r="B290" s="162"/>
      <c r="C290" s="162" t="s">
        <v>39</v>
      </c>
      <c r="D290" s="163" t="s">
        <v>335</v>
      </c>
    </row>
    <row r="291" spans="1:4">
      <c r="A291" s="162" t="s">
        <v>579</v>
      </c>
      <c r="B291" s="162"/>
      <c r="C291" s="162" t="s">
        <v>40</v>
      </c>
      <c r="D291" s="163" t="s">
        <v>335</v>
      </c>
    </row>
    <row r="292" spans="1:4">
      <c r="A292" s="162" t="s">
        <v>580</v>
      </c>
      <c r="B292" s="162"/>
      <c r="C292" s="162" t="s">
        <v>40</v>
      </c>
      <c r="D292" s="163" t="s">
        <v>337</v>
      </c>
    </row>
    <row r="293" spans="1:4">
      <c r="A293" s="162" t="s">
        <v>581</v>
      </c>
      <c r="B293" s="162"/>
      <c r="C293" s="162" t="s">
        <v>39</v>
      </c>
      <c r="D293" s="163" t="s">
        <v>340</v>
      </c>
    </row>
    <row r="294" spans="1:4">
      <c r="A294" s="162" t="s">
        <v>436</v>
      </c>
      <c r="B294" s="162"/>
      <c r="C294" s="162" t="s">
        <v>40</v>
      </c>
      <c r="D294" s="163" t="s">
        <v>337</v>
      </c>
    </row>
    <row r="295" spans="1:4">
      <c r="A295" s="162" t="s">
        <v>84</v>
      </c>
      <c r="B295" s="162"/>
      <c r="C295" s="162" t="s">
        <v>39</v>
      </c>
      <c r="D295" s="163" t="s">
        <v>462</v>
      </c>
    </row>
    <row r="296" spans="1:4">
      <c r="A296" s="162" t="s">
        <v>582</v>
      </c>
      <c r="B296" s="162"/>
      <c r="C296" s="162" t="s">
        <v>39</v>
      </c>
      <c r="D296" s="163" t="s">
        <v>340</v>
      </c>
    </row>
    <row r="297" spans="1:4">
      <c r="A297" s="162" t="s">
        <v>85</v>
      </c>
      <c r="B297" s="162"/>
      <c r="C297" s="162" t="s">
        <v>39</v>
      </c>
      <c r="D297" s="163" t="s">
        <v>340</v>
      </c>
    </row>
    <row r="298" spans="1:4">
      <c r="A298" s="162" t="s">
        <v>583</v>
      </c>
      <c r="B298" s="162"/>
      <c r="C298" s="162" t="s">
        <v>39</v>
      </c>
      <c r="D298" s="163" t="s">
        <v>340</v>
      </c>
    </row>
    <row r="299" spans="1:4">
      <c r="A299" s="162" t="s">
        <v>584</v>
      </c>
      <c r="B299" s="162"/>
      <c r="C299" s="162" t="s">
        <v>39</v>
      </c>
      <c r="D299" s="163" t="s">
        <v>335</v>
      </c>
    </row>
    <row r="300" spans="1:4">
      <c r="A300" s="162" t="s">
        <v>585</v>
      </c>
      <c r="B300" s="162"/>
      <c r="C300" s="162" t="s">
        <v>39</v>
      </c>
      <c r="D300" s="163" t="s">
        <v>335</v>
      </c>
    </row>
    <row r="301" spans="1:4">
      <c r="A301" s="162" t="s">
        <v>586</v>
      </c>
      <c r="B301" s="162"/>
      <c r="C301" s="162" t="s">
        <v>40</v>
      </c>
      <c r="D301" s="163" t="s">
        <v>335</v>
      </c>
    </row>
    <row r="302" spans="1:4">
      <c r="A302" s="164" t="s">
        <v>587</v>
      </c>
      <c r="B302" s="166"/>
      <c r="C302" s="167" t="s">
        <v>39</v>
      </c>
      <c r="D302" s="163" t="s">
        <v>335</v>
      </c>
    </row>
    <row r="303" spans="1:4">
      <c r="A303" s="164" t="s">
        <v>588</v>
      </c>
      <c r="B303" s="162"/>
      <c r="C303" s="162" t="s">
        <v>40</v>
      </c>
      <c r="D303" s="163" t="s">
        <v>337</v>
      </c>
    </row>
    <row r="304" spans="1:4">
      <c r="A304" s="162" t="s">
        <v>589</v>
      </c>
      <c r="B304" s="162"/>
      <c r="C304" s="162" t="s">
        <v>40</v>
      </c>
      <c r="D304" s="163" t="s">
        <v>337</v>
      </c>
    </row>
    <row r="305" spans="1:4">
      <c r="A305" s="162" t="s">
        <v>83</v>
      </c>
      <c r="B305" s="162"/>
      <c r="C305" s="162" t="s">
        <v>40</v>
      </c>
      <c r="D305" s="163" t="s">
        <v>337</v>
      </c>
    </row>
    <row r="306" spans="1:4">
      <c r="A306" s="162" t="s">
        <v>86</v>
      </c>
      <c r="B306" s="162"/>
      <c r="C306" s="162" t="s">
        <v>40</v>
      </c>
      <c r="D306" s="163" t="s">
        <v>337</v>
      </c>
    </row>
    <row r="307" spans="1:4">
      <c r="A307" s="162" t="s">
        <v>87</v>
      </c>
      <c r="B307" s="162"/>
      <c r="C307" s="162" t="s">
        <v>39</v>
      </c>
      <c r="D307" s="163" t="s">
        <v>462</v>
      </c>
    </row>
    <row r="308" spans="1:4">
      <c r="A308" s="162" t="s">
        <v>590</v>
      </c>
      <c r="B308" s="162"/>
      <c r="C308" s="162" t="s">
        <v>40</v>
      </c>
      <c r="D308" s="163" t="s">
        <v>337</v>
      </c>
    </row>
    <row r="309" spans="1:4">
      <c r="A309" s="162" t="s">
        <v>591</v>
      </c>
      <c r="B309" s="162"/>
      <c r="C309" s="162" t="s">
        <v>40</v>
      </c>
      <c r="D309" s="163" t="s">
        <v>337</v>
      </c>
    </row>
    <row r="310" spans="1:4">
      <c r="A310" s="161" t="s">
        <v>353</v>
      </c>
      <c r="B310" s="162"/>
      <c r="C310" s="162" t="s">
        <v>39</v>
      </c>
      <c r="D310" s="163" t="s">
        <v>340</v>
      </c>
    </row>
    <row r="311" spans="1:4">
      <c r="A311" s="162" t="s">
        <v>592</v>
      </c>
      <c r="B311" s="162"/>
      <c r="C311" s="162" t="s">
        <v>40</v>
      </c>
      <c r="D311" s="163" t="s">
        <v>337</v>
      </c>
    </row>
    <row r="312" spans="1:4">
      <c r="A312" s="162" t="s">
        <v>593</v>
      </c>
      <c r="B312" s="162"/>
      <c r="C312" s="162" t="s">
        <v>40</v>
      </c>
      <c r="D312" s="163" t="s">
        <v>337</v>
      </c>
    </row>
    <row r="313" spans="1:4">
      <c r="A313" s="162" t="s">
        <v>594</v>
      </c>
      <c r="B313" s="162"/>
      <c r="C313" s="162" t="s">
        <v>40</v>
      </c>
      <c r="D313" s="163" t="s">
        <v>337</v>
      </c>
    </row>
    <row r="314" spans="1:4">
      <c r="A314" s="162" t="s">
        <v>595</v>
      </c>
      <c r="B314" s="162"/>
      <c r="C314" s="162" t="s">
        <v>40</v>
      </c>
      <c r="D314" s="163" t="s">
        <v>337</v>
      </c>
    </row>
    <row r="315" spans="1:4">
      <c r="A315" s="162" t="s">
        <v>596</v>
      </c>
      <c r="B315" s="162"/>
      <c r="C315" s="162" t="s">
        <v>40</v>
      </c>
      <c r="D315" s="163" t="s">
        <v>337</v>
      </c>
    </row>
    <row r="316" spans="1:4">
      <c r="A316" s="161" t="s">
        <v>597</v>
      </c>
      <c r="B316" s="162"/>
      <c r="C316" s="162" t="s">
        <v>39</v>
      </c>
      <c r="D316" s="163" t="s">
        <v>335</v>
      </c>
    </row>
    <row r="317" spans="1:4">
      <c r="A317" s="162" t="s">
        <v>598</v>
      </c>
      <c r="B317" s="162"/>
      <c r="C317" s="162" t="s">
        <v>40</v>
      </c>
      <c r="D317" s="163" t="s">
        <v>337</v>
      </c>
    </row>
    <row r="318" spans="1:4">
      <c r="A318" s="162" t="s">
        <v>88</v>
      </c>
      <c r="B318" s="162"/>
      <c r="C318" s="162" t="s">
        <v>40</v>
      </c>
      <c r="D318" s="163" t="s">
        <v>337</v>
      </c>
    </row>
    <row r="319" spans="1:4">
      <c r="A319" s="162" t="s">
        <v>599</v>
      </c>
      <c r="B319" s="162"/>
      <c r="C319" s="162" t="s">
        <v>40</v>
      </c>
      <c r="D319" s="163" t="s">
        <v>337</v>
      </c>
    </row>
    <row r="320" spans="1:4">
      <c r="A320" s="162" t="s">
        <v>600</v>
      </c>
      <c r="B320" s="162"/>
      <c r="C320" s="162" t="s">
        <v>40</v>
      </c>
      <c r="D320" s="163" t="s">
        <v>337</v>
      </c>
    </row>
    <row r="321" spans="1:4">
      <c r="A321" s="162" t="s">
        <v>601</v>
      </c>
      <c r="B321" s="162"/>
      <c r="C321" s="162" t="s">
        <v>40</v>
      </c>
      <c r="D321" s="163" t="s">
        <v>337</v>
      </c>
    </row>
    <row r="322" spans="1:4">
      <c r="A322" s="162" t="s">
        <v>602</v>
      </c>
      <c r="B322" s="162"/>
      <c r="C322" s="162" t="s">
        <v>39</v>
      </c>
      <c r="D322" s="163" t="s">
        <v>335</v>
      </c>
    </row>
    <row r="323" spans="1:4">
      <c r="A323" s="162" t="s">
        <v>603</v>
      </c>
      <c r="B323" s="162"/>
      <c r="C323" s="162" t="s">
        <v>40</v>
      </c>
      <c r="D323" s="163" t="s">
        <v>337</v>
      </c>
    </row>
    <row r="324" spans="1:4">
      <c r="A324" s="162" t="s">
        <v>604</v>
      </c>
      <c r="B324" s="162"/>
      <c r="C324" s="162" t="s">
        <v>40</v>
      </c>
      <c r="D324" s="163" t="s">
        <v>337</v>
      </c>
    </row>
    <row r="325" spans="1:4">
      <c r="A325" s="162" t="s">
        <v>605</v>
      </c>
      <c r="B325" s="162"/>
      <c r="C325" s="162" t="s">
        <v>39</v>
      </c>
      <c r="D325" s="163" t="s">
        <v>340</v>
      </c>
    </row>
    <row r="326" spans="1:4">
      <c r="A326" s="162" t="s">
        <v>606</v>
      </c>
      <c r="B326" s="162"/>
      <c r="C326" s="162" t="s">
        <v>39</v>
      </c>
      <c r="D326" s="163" t="s">
        <v>340</v>
      </c>
    </row>
    <row r="327" spans="1:4">
      <c r="A327" s="162" t="s">
        <v>607</v>
      </c>
      <c r="B327" s="162"/>
      <c r="C327" s="162" t="s">
        <v>40</v>
      </c>
      <c r="D327" s="163" t="s">
        <v>337</v>
      </c>
    </row>
    <row r="328" spans="1:4">
      <c r="A328" s="162" t="s">
        <v>608</v>
      </c>
      <c r="B328" s="162"/>
      <c r="C328" s="162" t="s">
        <v>40</v>
      </c>
      <c r="D328" s="163" t="s">
        <v>337</v>
      </c>
    </row>
    <row r="329" spans="1:4">
      <c r="A329" s="162" t="s">
        <v>89</v>
      </c>
      <c r="B329" s="162"/>
      <c r="C329" s="162" t="s">
        <v>40</v>
      </c>
      <c r="D329" s="163" t="s">
        <v>337</v>
      </c>
    </row>
    <row r="330" spans="1:4">
      <c r="A330" s="162" t="s">
        <v>609</v>
      </c>
      <c r="B330" s="162"/>
      <c r="C330" s="162" t="s">
        <v>40</v>
      </c>
      <c r="D330" s="163" t="s">
        <v>337</v>
      </c>
    </row>
    <row r="331" spans="1:4">
      <c r="A331" s="162" t="s">
        <v>610</v>
      </c>
      <c r="B331" s="162"/>
      <c r="C331" s="162" t="s">
        <v>40</v>
      </c>
      <c r="D331" s="163" t="s">
        <v>337</v>
      </c>
    </row>
    <row r="332" spans="1:4">
      <c r="A332" s="162" t="s">
        <v>611</v>
      </c>
      <c r="B332" s="162"/>
      <c r="C332" s="162" t="s">
        <v>40</v>
      </c>
      <c r="D332" s="163" t="s">
        <v>335</v>
      </c>
    </row>
    <row r="333" spans="1:4">
      <c r="A333" s="162" t="s">
        <v>612</v>
      </c>
      <c r="B333" s="162"/>
      <c r="C333" s="162" t="s">
        <v>39</v>
      </c>
      <c r="D333" s="163" t="s">
        <v>335</v>
      </c>
    </row>
    <row r="334" spans="1:4">
      <c r="A334" s="162" t="s">
        <v>613</v>
      </c>
      <c r="B334" s="162"/>
      <c r="C334" s="162" t="s">
        <v>40</v>
      </c>
      <c r="D334" s="163" t="s">
        <v>335</v>
      </c>
    </row>
    <row r="335" spans="1:4">
      <c r="A335" s="162" t="s">
        <v>614</v>
      </c>
      <c r="B335" s="162"/>
      <c r="C335" s="162" t="s">
        <v>39</v>
      </c>
      <c r="D335" s="163" t="s">
        <v>462</v>
      </c>
    </row>
    <row r="336" spans="1:4">
      <c r="A336" s="162" t="s">
        <v>615</v>
      </c>
      <c r="B336" s="161"/>
      <c r="C336" s="161" t="s">
        <v>39</v>
      </c>
      <c r="D336" s="163" t="s">
        <v>335</v>
      </c>
    </row>
    <row r="337" spans="1:4">
      <c r="A337" s="162" t="s">
        <v>377</v>
      </c>
      <c r="B337" s="162"/>
      <c r="C337" s="162" t="s">
        <v>40</v>
      </c>
      <c r="D337" s="163" t="s">
        <v>335</v>
      </c>
    </row>
    <row r="338" spans="1:4">
      <c r="A338" s="162" t="s">
        <v>616</v>
      </c>
      <c r="B338" s="162"/>
      <c r="C338" s="162" t="s">
        <v>40</v>
      </c>
      <c r="D338" s="163" t="s">
        <v>337</v>
      </c>
    </row>
    <row r="339" spans="1:4">
      <c r="A339" s="164" t="s">
        <v>617</v>
      </c>
      <c r="B339" s="162"/>
      <c r="C339" s="162" t="s">
        <v>40</v>
      </c>
      <c r="D339" s="163" t="s">
        <v>335</v>
      </c>
    </row>
    <row r="340" spans="1:4">
      <c r="A340" s="162" t="s">
        <v>618</v>
      </c>
      <c r="B340" s="162"/>
      <c r="C340" s="162" t="s">
        <v>39</v>
      </c>
      <c r="D340" s="163" t="s">
        <v>340</v>
      </c>
    </row>
    <row r="341" spans="1:4">
      <c r="A341" s="162" t="s">
        <v>619</v>
      </c>
      <c r="B341" s="162"/>
      <c r="C341" s="162" t="s">
        <v>39</v>
      </c>
      <c r="D341" s="163" t="s">
        <v>340</v>
      </c>
    </row>
    <row r="342" spans="1:4">
      <c r="A342" s="162" t="s">
        <v>620</v>
      </c>
      <c r="B342" s="162"/>
      <c r="C342" s="162" t="s">
        <v>40</v>
      </c>
      <c r="D342" s="163" t="s">
        <v>337</v>
      </c>
    </row>
    <row r="343" spans="1:4">
      <c r="A343" s="162" t="s">
        <v>90</v>
      </c>
      <c r="B343" s="162"/>
      <c r="C343" s="162" t="s">
        <v>39</v>
      </c>
      <c r="D343" s="163" t="s">
        <v>335</v>
      </c>
    </row>
    <row r="344" spans="1:4">
      <c r="A344" s="162" t="s">
        <v>91</v>
      </c>
      <c r="B344" s="162"/>
      <c r="C344" s="162" t="s">
        <v>39</v>
      </c>
      <c r="D344" s="163" t="s">
        <v>335</v>
      </c>
    </row>
    <row r="345" spans="1:4">
      <c r="A345" s="162" t="s">
        <v>621</v>
      </c>
      <c r="B345" s="162"/>
      <c r="C345" s="162" t="s">
        <v>40</v>
      </c>
      <c r="D345" s="163" t="s">
        <v>335</v>
      </c>
    </row>
    <row r="346" spans="1:4">
      <c r="A346" s="162" t="s">
        <v>622</v>
      </c>
      <c r="B346" s="162"/>
      <c r="C346" s="162" t="s">
        <v>40</v>
      </c>
      <c r="D346" s="163" t="s">
        <v>335</v>
      </c>
    </row>
    <row r="347" spans="1:4">
      <c r="A347" s="162" t="s">
        <v>623</v>
      </c>
      <c r="B347" s="162"/>
      <c r="C347" s="162" t="s">
        <v>39</v>
      </c>
      <c r="D347" s="163" t="s">
        <v>340</v>
      </c>
    </row>
    <row r="348" spans="1:4">
      <c r="A348" s="162" t="s">
        <v>624</v>
      </c>
      <c r="B348" s="162"/>
      <c r="C348" s="162" t="s">
        <v>40</v>
      </c>
      <c r="D348" s="163" t="s">
        <v>337</v>
      </c>
    </row>
    <row r="349" spans="1:4">
      <c r="A349" s="162" t="s">
        <v>625</v>
      </c>
      <c r="B349" s="162"/>
      <c r="C349" s="162" t="s">
        <v>39</v>
      </c>
      <c r="D349" s="163" t="s">
        <v>626</v>
      </c>
    </row>
    <row r="350" spans="1:4">
      <c r="A350" s="162" t="s">
        <v>92</v>
      </c>
      <c r="B350" s="162"/>
      <c r="C350" s="162" t="s">
        <v>40</v>
      </c>
      <c r="D350" s="163" t="s">
        <v>337</v>
      </c>
    </row>
    <row r="351" spans="1:4">
      <c r="A351" s="162" t="s">
        <v>627</v>
      </c>
      <c r="B351" s="162"/>
      <c r="C351" s="162" t="s">
        <v>40</v>
      </c>
      <c r="D351" s="163" t="s">
        <v>337</v>
      </c>
    </row>
    <row r="352" spans="1:4">
      <c r="A352" s="162" t="s">
        <v>628</v>
      </c>
      <c r="B352" s="162"/>
      <c r="C352" s="162" t="s">
        <v>39</v>
      </c>
      <c r="D352" s="163" t="s">
        <v>340</v>
      </c>
    </row>
    <row r="353" spans="1:4">
      <c r="A353" s="162" t="s">
        <v>93</v>
      </c>
      <c r="B353" s="162"/>
      <c r="C353" s="162" t="s">
        <v>40</v>
      </c>
      <c r="D353" s="163" t="s">
        <v>337</v>
      </c>
    </row>
    <row r="354" spans="1:4">
      <c r="A354" s="162" t="s">
        <v>60</v>
      </c>
      <c r="B354" s="162"/>
      <c r="C354" s="162" t="s">
        <v>40</v>
      </c>
      <c r="D354" s="163" t="s">
        <v>337</v>
      </c>
    </row>
    <row r="355" spans="1:4">
      <c r="A355" s="162" t="s">
        <v>629</v>
      </c>
      <c r="B355" s="162"/>
      <c r="C355" s="162" t="s">
        <v>40</v>
      </c>
      <c r="D355" s="163" t="s">
        <v>337</v>
      </c>
    </row>
    <row r="356" spans="1:4">
      <c r="A356" s="162" t="s">
        <v>630</v>
      </c>
      <c r="B356" s="162"/>
      <c r="C356" s="162" t="s">
        <v>40</v>
      </c>
      <c r="D356" s="163" t="s">
        <v>337</v>
      </c>
    </row>
    <row r="357" spans="1:4">
      <c r="A357" s="162" t="s">
        <v>631</v>
      </c>
      <c r="B357" s="162"/>
      <c r="C357" s="162" t="s">
        <v>39</v>
      </c>
      <c r="D357" s="163" t="s">
        <v>462</v>
      </c>
    </row>
    <row r="358" spans="1:4">
      <c r="A358" s="162" t="s">
        <v>94</v>
      </c>
      <c r="B358" s="162"/>
      <c r="C358" s="162" t="s">
        <v>39</v>
      </c>
      <c r="D358" s="163" t="s">
        <v>337</v>
      </c>
    </row>
    <row r="359" spans="1:4">
      <c r="A359" s="162" t="s">
        <v>340</v>
      </c>
      <c r="B359" s="162"/>
      <c r="C359" s="162" t="s">
        <v>39</v>
      </c>
      <c r="D359" s="163" t="s">
        <v>340</v>
      </c>
    </row>
    <row r="360" spans="1:4">
      <c r="A360" s="162" t="s">
        <v>632</v>
      </c>
      <c r="B360" s="162"/>
      <c r="C360" s="162" t="s">
        <v>39</v>
      </c>
      <c r="D360" s="163" t="s">
        <v>337</v>
      </c>
    </row>
    <row r="361" spans="1:4">
      <c r="A361" s="162" t="s">
        <v>95</v>
      </c>
      <c r="B361" s="162"/>
      <c r="C361" s="162" t="s">
        <v>39</v>
      </c>
      <c r="D361" s="163" t="s">
        <v>337</v>
      </c>
    </row>
    <row r="362" spans="1:4">
      <c r="A362" s="162" t="s">
        <v>633</v>
      </c>
      <c r="B362" s="162"/>
      <c r="C362" s="162" t="s">
        <v>39</v>
      </c>
      <c r="D362" s="163" t="s">
        <v>340</v>
      </c>
    </row>
    <row r="363" spans="1:4">
      <c r="A363" s="162" t="s">
        <v>526</v>
      </c>
      <c r="B363" s="162"/>
      <c r="C363" s="162" t="s">
        <v>39</v>
      </c>
      <c r="D363" s="163" t="s">
        <v>335</v>
      </c>
    </row>
    <row r="364" spans="1:4">
      <c r="A364" s="162" t="s">
        <v>634</v>
      </c>
      <c r="B364" s="165"/>
      <c r="C364" s="162" t="s">
        <v>375</v>
      </c>
      <c r="D364" s="163" t="s">
        <v>337</v>
      </c>
    </row>
    <row r="365" spans="1:4">
      <c r="A365" s="162" t="s">
        <v>635</v>
      </c>
      <c r="B365" s="162"/>
      <c r="C365" s="162" t="s">
        <v>40</v>
      </c>
      <c r="D365" s="163" t="s">
        <v>335</v>
      </c>
    </row>
    <row r="366" spans="1:4">
      <c r="A366" s="162" t="s">
        <v>636</v>
      </c>
      <c r="B366" s="161"/>
      <c r="C366" s="161" t="s">
        <v>39</v>
      </c>
      <c r="D366" s="163" t="s">
        <v>335</v>
      </c>
    </row>
    <row r="367" spans="1:4">
      <c r="A367" s="162" t="s">
        <v>637</v>
      </c>
      <c r="B367" s="162"/>
      <c r="C367" s="162" t="s">
        <v>40</v>
      </c>
      <c r="D367" s="163" t="s">
        <v>335</v>
      </c>
    </row>
    <row r="368" spans="1:4">
      <c r="A368" s="162" t="s">
        <v>638</v>
      </c>
      <c r="B368" s="162"/>
      <c r="C368" s="162" t="s">
        <v>39</v>
      </c>
      <c r="D368" s="163" t="s">
        <v>337</v>
      </c>
    </row>
    <row r="369" spans="1:4">
      <c r="A369" s="162" t="s">
        <v>639</v>
      </c>
      <c r="B369" s="162"/>
      <c r="C369" s="162" t="s">
        <v>39</v>
      </c>
      <c r="D369" s="163" t="s">
        <v>337</v>
      </c>
    </row>
    <row r="370" spans="1:4">
      <c r="A370" s="162" t="s">
        <v>96</v>
      </c>
      <c r="B370" s="162"/>
      <c r="C370" s="162" t="s">
        <v>39</v>
      </c>
      <c r="D370" s="163" t="s">
        <v>340</v>
      </c>
    </row>
    <row r="371" spans="1:4">
      <c r="A371" s="162" t="s">
        <v>640</v>
      </c>
      <c r="B371" s="162"/>
      <c r="C371" s="162" t="s">
        <v>39</v>
      </c>
      <c r="D371" s="163" t="s">
        <v>337</v>
      </c>
    </row>
    <row r="372" spans="1:4">
      <c r="A372" s="162" t="s">
        <v>641</v>
      </c>
      <c r="B372" s="162"/>
      <c r="C372" s="162" t="s">
        <v>39</v>
      </c>
      <c r="D372" s="163" t="s">
        <v>337</v>
      </c>
    </row>
  </sheetData>
  <sheetProtection sheet="1" objects="1" scenarios="1" autoFilter="0" pivotTables="0"/>
  <dataValidations count="4">
    <dataValidation allowBlank="1" showInputMessage="1" showErrorMessage="1" promptTitle="Filter here" prompt="To make it easier to search for a crop, you can filter per category. Please do not insert the category in tab 2, just the crop name and, if available, the variety" sqref="D1"/>
    <dataValidation allowBlank="1" showInputMessage="1" showErrorMessage="1" promptTitle="Important" prompt="If you only have crops that have &quot;UEBT/RA&quot; category, you need to be certified by UEBT and this template does not apply to you. Please contact certification@uebt.org " sqref="C1"/>
    <dataValidation allowBlank="1" showInputMessage="1" showErrorMessage="1" promptTitle="Choose for 2. Certified Crop" prompt="Please check here the right spelling of the crop name to be inserted in tab 2. Certified Crop, column 2. Certified crop. You can search or filter per category or per crop." sqref="A1"/>
    <dataValidation allowBlank="1" showInputMessage="1" showErrorMessage="1" promptTitle="Important" prompt="Please only input a variety in tab 2. Certified Crop column 3. Variety if a variety is shown for this crop in this column here. No other varieties will be recognized by the RACP" sqref="B1"/>
  </dataValidations>
  <pageMargins left="0.7" right="0.7" top="0.75" bottom="0.75" header="0.3" footer="0.3"/>
  <pageSetup paperSize="9" orientation="portrait" verticalDpi="0" r:id="rId1"/>
  <tableParts count="1">
    <tablePart r:id="rId2"/>
  </tableParts>
</worksheet>
</file>

<file path=xl/worksheets/sheet8.xml><?xml version="1.0" encoding="utf-8"?>
<worksheet xmlns="http://schemas.openxmlformats.org/spreadsheetml/2006/main" xmlns:r="http://schemas.openxmlformats.org/officeDocument/2006/relationships">
  <sheetPr>
    <tabColor rgb="FF94BA29"/>
  </sheetPr>
  <dimension ref="A1:U24"/>
  <sheetViews>
    <sheetView showGridLines="0" zoomScale="90" zoomScaleNormal="90" workbookViewId="0">
      <selection activeCell="D15" sqref="D15"/>
    </sheetView>
  </sheetViews>
  <sheetFormatPr baseColWidth="10" defaultColWidth="9.140625" defaultRowHeight="15"/>
  <cols>
    <col min="1" max="1" width="3.7109375" customWidth="1"/>
    <col min="2" max="2" width="32.42578125" customWidth="1"/>
    <col min="3" max="3" width="45.5703125" customWidth="1"/>
    <col min="4" max="4" width="55.42578125" customWidth="1"/>
  </cols>
  <sheetData>
    <row r="1" spans="1:21" ht="20.25" thickBot="1">
      <c r="A1" s="13" t="s">
        <v>642</v>
      </c>
      <c r="B1" s="13"/>
      <c r="C1" s="13"/>
      <c r="D1" s="13"/>
    </row>
    <row r="2" spans="1:21" ht="15.75" thickTop="1"/>
    <row r="3" spans="1:21" ht="16.5">
      <c r="B3" s="11" t="s">
        <v>643</v>
      </c>
      <c r="C3" s="11"/>
      <c r="D3" s="11"/>
      <c r="E3" s="11"/>
      <c r="F3" s="11"/>
      <c r="G3" s="11"/>
      <c r="H3" s="11"/>
      <c r="I3" s="11"/>
      <c r="J3" s="11"/>
      <c r="K3" s="11"/>
      <c r="L3" s="131"/>
      <c r="M3" s="131"/>
      <c r="N3" s="131"/>
      <c r="O3" s="131"/>
      <c r="P3" s="131"/>
      <c r="Q3" s="131"/>
      <c r="R3" s="131"/>
      <c r="S3" s="131"/>
      <c r="T3" s="11"/>
      <c r="U3" s="11"/>
    </row>
    <row r="4" spans="1:21" ht="16.5">
      <c r="B4" s="11" t="s">
        <v>644</v>
      </c>
      <c r="C4" s="11"/>
      <c r="D4" s="11"/>
      <c r="E4" s="11"/>
      <c r="F4" s="11"/>
      <c r="G4" s="11"/>
      <c r="H4" s="11"/>
      <c r="I4" s="11"/>
      <c r="J4" s="11"/>
      <c r="K4" s="11"/>
      <c r="L4" s="131"/>
      <c r="M4" s="131"/>
      <c r="N4" s="131"/>
      <c r="O4" s="131"/>
      <c r="P4" s="131"/>
      <c r="Q4" s="131"/>
      <c r="R4" s="131"/>
      <c r="S4" s="131"/>
      <c r="T4" s="11"/>
      <c r="U4" s="11"/>
    </row>
    <row r="5" spans="1:21" ht="16.5">
      <c r="B5" s="11" t="s">
        <v>645</v>
      </c>
      <c r="C5" s="11"/>
      <c r="D5" s="11"/>
      <c r="E5" s="11"/>
      <c r="F5" s="11"/>
      <c r="G5" s="11"/>
      <c r="H5" s="11"/>
      <c r="I5" s="11"/>
      <c r="J5" s="11"/>
      <c r="K5" s="11"/>
      <c r="L5" s="131"/>
      <c r="M5" s="131"/>
      <c r="N5" s="131"/>
      <c r="O5" s="131"/>
      <c r="P5" s="131"/>
      <c r="Q5" s="131"/>
      <c r="R5" s="131"/>
      <c r="S5" s="131"/>
      <c r="T5" s="11"/>
      <c r="U5" s="11"/>
    </row>
    <row r="6" spans="1:21" ht="16.5">
      <c r="B6" s="11" t="s">
        <v>646</v>
      </c>
      <c r="C6" s="11"/>
      <c r="D6" s="11"/>
      <c r="E6" s="11"/>
      <c r="F6" s="11"/>
      <c r="G6" s="11"/>
      <c r="H6" s="11"/>
      <c r="I6" s="11"/>
      <c r="J6" s="11"/>
      <c r="K6" s="11"/>
      <c r="L6" s="131"/>
      <c r="M6" s="131"/>
      <c r="N6" s="131"/>
      <c r="O6" s="131"/>
      <c r="P6" s="131"/>
      <c r="Q6" s="131"/>
      <c r="R6" s="131"/>
      <c r="S6" s="131"/>
      <c r="T6" s="11"/>
      <c r="U6" s="11"/>
    </row>
    <row r="7" spans="1:21" ht="16.5">
      <c r="B7" s="11" t="s">
        <v>647</v>
      </c>
      <c r="C7" s="11"/>
      <c r="D7" s="11"/>
      <c r="E7" s="11"/>
      <c r="F7" s="11"/>
      <c r="G7" s="11"/>
      <c r="H7" s="11"/>
      <c r="I7" s="11"/>
      <c r="J7" s="11"/>
      <c r="K7" s="11"/>
      <c r="L7" s="131"/>
      <c r="M7" s="131"/>
      <c r="N7" s="131"/>
      <c r="O7" s="131"/>
      <c r="P7" s="131"/>
      <c r="Q7" s="131"/>
      <c r="R7" s="131"/>
      <c r="S7" s="131"/>
      <c r="T7" s="11"/>
      <c r="U7" s="11"/>
    </row>
    <row r="8" spans="1:21" ht="16.5">
      <c r="B8" s="11" t="s">
        <v>648</v>
      </c>
      <c r="C8" s="11"/>
      <c r="D8" s="11"/>
      <c r="E8" s="11"/>
      <c r="F8" s="11"/>
      <c r="G8" s="11"/>
      <c r="H8" s="11"/>
      <c r="I8" s="11"/>
      <c r="J8" s="11"/>
      <c r="K8" s="11"/>
      <c r="L8" s="131"/>
      <c r="M8" s="131"/>
      <c r="N8" s="131"/>
      <c r="O8" s="131"/>
      <c r="P8" s="131"/>
      <c r="Q8" s="131"/>
      <c r="R8" s="131"/>
      <c r="S8" s="131"/>
      <c r="T8" s="11"/>
      <c r="U8" s="11"/>
    </row>
    <row r="9" spans="1:21" ht="16.5">
      <c r="B9" s="11"/>
      <c r="C9" s="11"/>
      <c r="D9" s="11"/>
      <c r="E9" s="11"/>
      <c r="F9" s="11"/>
      <c r="G9" s="11"/>
      <c r="H9" s="11"/>
      <c r="I9" s="11"/>
      <c r="J9" s="11"/>
      <c r="K9" s="11"/>
      <c r="L9" s="131"/>
      <c r="M9" s="131"/>
      <c r="N9" s="131"/>
      <c r="O9" s="131"/>
      <c r="P9" s="131"/>
      <c r="Q9" s="131"/>
      <c r="R9" s="131"/>
      <c r="S9" s="131"/>
      <c r="T9" s="11"/>
      <c r="U9" s="11"/>
    </row>
    <row r="10" spans="1:21" ht="16.5">
      <c r="B10" s="11" t="s">
        <v>649</v>
      </c>
      <c r="C10" s="11"/>
      <c r="D10" s="11"/>
      <c r="E10" s="11"/>
      <c r="F10" s="11"/>
      <c r="G10" s="11"/>
      <c r="H10" s="11"/>
      <c r="I10" s="11"/>
      <c r="J10" s="11"/>
      <c r="K10" s="11"/>
      <c r="L10" s="131"/>
      <c r="M10" s="131"/>
      <c r="N10" s="131"/>
      <c r="O10" s="131"/>
      <c r="P10" s="131"/>
      <c r="Q10" s="131"/>
      <c r="R10" s="131"/>
      <c r="S10" s="131"/>
      <c r="T10" s="11"/>
      <c r="U10" s="11"/>
    </row>
    <row r="11" spans="1:21" ht="16.5">
      <c r="B11" s="11"/>
      <c r="C11" s="11"/>
      <c r="D11" s="11"/>
      <c r="E11" s="11"/>
      <c r="F11" s="11"/>
      <c r="G11" s="11"/>
      <c r="H11" s="11"/>
      <c r="I11" s="11"/>
      <c r="J11" s="11"/>
      <c r="K11" s="11"/>
      <c r="L11" s="131"/>
      <c r="M11" s="131"/>
      <c r="N11" s="131"/>
      <c r="O11" s="131"/>
      <c r="P11" s="131"/>
      <c r="Q11" s="131"/>
      <c r="R11" s="131"/>
      <c r="S11" s="131"/>
      <c r="T11" s="11"/>
      <c r="U11" s="11"/>
    </row>
    <row r="12" spans="1:21" ht="20.25" thickBot="1">
      <c r="A12" s="13" t="s">
        <v>650</v>
      </c>
      <c r="B12" s="13"/>
      <c r="C12" s="13"/>
      <c r="D12" s="13"/>
      <c r="E12" s="13"/>
    </row>
    <row r="13" spans="1:21" ht="17.25" thickTop="1">
      <c r="B13" s="11"/>
      <c r="L13" s="11"/>
    </row>
    <row r="14" spans="1:21" ht="16.5">
      <c r="B14" s="11" t="s">
        <v>651</v>
      </c>
      <c r="L14" s="11"/>
    </row>
    <row r="15" spans="1:21" ht="16.5">
      <c r="B15" s="11" t="s">
        <v>652</v>
      </c>
      <c r="L15" s="11"/>
    </row>
    <row r="16" spans="1:21" ht="16.5">
      <c r="B16" s="11" t="s">
        <v>653</v>
      </c>
      <c r="L16" s="11"/>
    </row>
    <row r="17" spans="2:12" ht="16.5">
      <c r="B17" s="11" t="s">
        <v>654</v>
      </c>
      <c r="L17" s="11"/>
    </row>
    <row r="18" spans="2:12" ht="16.5">
      <c r="B18" s="11" t="s">
        <v>655</v>
      </c>
      <c r="L18" s="11"/>
    </row>
    <row r="19" spans="2:12" ht="16.5">
      <c r="B19" s="11" t="s">
        <v>656</v>
      </c>
    </row>
    <row r="20" spans="2:12" ht="15.75" thickBot="1"/>
    <row r="21" spans="2:12">
      <c r="B21" s="137" t="s">
        <v>657</v>
      </c>
      <c r="C21" s="138" t="s">
        <v>658</v>
      </c>
      <c r="D21" s="139" t="s">
        <v>659</v>
      </c>
    </row>
    <row r="22" spans="2:12" ht="16.5">
      <c r="B22" s="135"/>
      <c r="C22" s="132" t="s">
        <v>660</v>
      </c>
      <c r="D22" s="133" t="s">
        <v>661</v>
      </c>
    </row>
    <row r="23" spans="2:12" ht="16.5">
      <c r="B23" s="135" t="s">
        <v>97</v>
      </c>
      <c r="C23" s="132" t="s">
        <v>662</v>
      </c>
      <c r="D23" s="133" t="s">
        <v>663</v>
      </c>
    </row>
    <row r="24" spans="2:12" ht="33.75" thickBot="1">
      <c r="B24" s="136" t="s">
        <v>98</v>
      </c>
      <c r="C24" s="134" t="s">
        <v>664</v>
      </c>
      <c r="D24" s="169" t="s">
        <v>665</v>
      </c>
    </row>
  </sheetData>
  <sheetProtection sheet="1" objects="1" scenarios="1"/>
  <pageMargins left="0.511811024" right="0.511811024" top="0.78740157499999996" bottom="0.78740157499999996" header="0.31496062000000002" footer="0.31496062000000002"/>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035FC0B73862942B5D735B921808A61" ma:contentTypeVersion="12" ma:contentTypeDescription="Create a new document." ma:contentTypeScope="" ma:versionID="4733421cd98014ecba68aa3522cd89ef">
  <xsd:schema xmlns:xsd="http://www.w3.org/2001/XMLSchema" xmlns:xs="http://www.w3.org/2001/XMLSchema" xmlns:p="http://schemas.microsoft.com/office/2006/metadata/properties" xmlns:ns2="f85326c8-53d7-4073-8fb0-737c737bb331" xmlns:ns3="5765bac3-0fca-4b4e-935f-16f2a024ce24" targetNamespace="http://schemas.microsoft.com/office/2006/metadata/properties" ma:root="true" ma:fieldsID="8e31ddcaaee71eb6ae718cfbfe3e2309" ns2:_="" ns3:_="">
    <xsd:import namespace="f85326c8-53d7-4073-8fb0-737c737bb331"/>
    <xsd:import namespace="5765bac3-0fca-4b4e-935f-16f2a024ce2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5326c8-53d7-4073-8fb0-737c737bb3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765bac3-0fca-4b4e-935f-16f2a024ce24"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5D96595-F6A4-4134-84E4-0123528031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5326c8-53d7-4073-8fb0-737c737bb331"/>
    <ds:schemaRef ds:uri="5765bac3-0fca-4b4e-935f-16f2a024ce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612303-1544-420A-9BAB-5B136A9D5968}">
  <ds:schemaRefs>
    <ds:schemaRef ds:uri="http://schemas.microsoft.com/sharepoint/v3/contenttype/forms"/>
  </ds:schemaRefs>
</ds:datastoreItem>
</file>

<file path=customXml/itemProps3.xml><?xml version="1.0" encoding="utf-8"?>
<ds:datastoreItem xmlns:ds="http://schemas.openxmlformats.org/officeDocument/2006/customXml" ds:itemID="{B22841A9-5C5F-46ED-8873-8B8EEAAE6C22}">
  <ds:schemaRefs>
    <ds:schemaRef ds:uri="f85326c8-53d7-4073-8fb0-737c737bb33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elements/1.1/"/>
    <ds:schemaRef ds:uri="http://schemas.microsoft.com/office/infopath/2007/PartnerControls"/>
    <ds:schemaRef ds:uri="5765bac3-0fca-4b4e-935f-16f2a024ce2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8</vt:i4>
      </vt:variant>
    </vt:vector>
  </HeadingPairs>
  <TitlesOfParts>
    <vt:vector size="8" baseType="lpstr">
      <vt:lpstr>Page de couverture</vt:lpstr>
      <vt:lpstr>1. Membre du groupe</vt:lpstr>
      <vt:lpstr>2. Produit agricole certifié</vt:lpstr>
      <vt:lpstr>3. Unité agricole</vt:lpstr>
      <vt:lpstr> Tableau de bord</vt:lpstr>
      <vt:lpstr>Translations</vt:lpstr>
      <vt:lpstr>Liste des produits agricoles</vt:lpstr>
      <vt:lpstr>Document d’orientation</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2021-08-15T21:33:57Z</dcterms:created>
  <dcterms:modified xsi:type="dcterms:W3CDTF">2022-06-20T16:40:22Z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0x010100D035FC0B73862942B5D735B921808A61</vt:lpwstr>
  </property>
</Properties>
</file>